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shall\Documents\pharmweb3home\interactivespreadsheets\"/>
    </mc:Choice>
  </mc:AlternateContent>
  <xr:revisionPtr revIDLastSave="0" documentId="13_ncr:1_{4AD38038-054F-4E31-A1A6-653CB82658AF}" xr6:coauthVersionLast="47" xr6:coauthVersionMax="47" xr10:uidLastSave="{00000000-0000-0000-0000-000000000000}"/>
  <bookViews>
    <workbookView xWindow="-120" yWindow="-120" windowWidth="25440" windowHeight="15390" xr2:uid="{2D7828D9-ABB3-4240-B57E-74E2A39F9AFC}"/>
  </bookViews>
  <sheets>
    <sheet name="Sheet1" sheetId="1" r:id="rId1"/>
  </sheets>
  <definedNames>
    <definedName name="solver_adj" localSheetId="0" hidden="1">Sheet1!$AA$11:$AB$11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Sheet1!$AA$11</definedName>
    <definedName name="solver_lhs2" localSheetId="0" hidden="1">Sheet1!$AA$11</definedName>
    <definedName name="solver_lhs3" localSheetId="0" hidden="1">Sheet1!$AB$11</definedName>
    <definedName name="solver_lhs4" localSheetId="0" hidden="1">Sheet1!$AB$11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Sheet1!$Z$27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hs1" localSheetId="0" hidden="1">1</definedName>
    <definedName name="solver_rhs2" localSheetId="0" hidden="1">0.35</definedName>
    <definedName name="solver_rhs3" localSheetId="0" hidden="1">0.4</definedName>
    <definedName name="solver_rhs4" localSheetId="0" hidden="1">0.15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7" i="1" l="1"/>
  <c r="L11" i="1"/>
  <c r="Y11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O33" i="1" s="1"/>
  <c r="N31" i="1"/>
  <c r="M31" i="1"/>
  <c r="M33" i="1" s="1"/>
  <c r="L31" i="1"/>
  <c r="K31" i="1"/>
  <c r="K33" i="1" s="1"/>
  <c r="J31" i="1"/>
  <c r="I31" i="1"/>
  <c r="I33" i="1" s="1"/>
  <c r="H31" i="1"/>
  <c r="G31" i="1"/>
  <c r="G33" i="1" s="1"/>
  <c r="F31" i="1"/>
  <c r="E31" i="1"/>
  <c r="E33" i="1" s="1"/>
  <c r="D31" i="1"/>
  <c r="C31" i="1"/>
  <c r="C33" i="1" s="1"/>
  <c r="F33" i="1" l="1"/>
  <c r="J33" i="1"/>
  <c r="N33" i="1"/>
  <c r="D33" i="1"/>
  <c r="H33" i="1"/>
  <c r="L33" i="1"/>
  <c r="T23" i="1" l="1"/>
  <c r="C23" i="1"/>
  <c r="D23" i="1" s="1"/>
  <c r="T22" i="1"/>
  <c r="C22" i="1"/>
  <c r="D22" i="1" s="1"/>
  <c r="T21" i="1"/>
  <c r="C21" i="1"/>
  <c r="D21" i="1" s="1"/>
  <c r="T20" i="1"/>
  <c r="C20" i="1"/>
  <c r="D20" i="1" s="1"/>
  <c r="T19" i="1"/>
  <c r="C19" i="1"/>
  <c r="D19" i="1" s="1"/>
  <c r="T18" i="1"/>
  <c r="C18" i="1"/>
  <c r="D18" i="1" s="1"/>
  <c r="T17" i="1"/>
  <c r="C17" i="1"/>
  <c r="D17" i="1" s="1"/>
  <c r="T16" i="1"/>
  <c r="C16" i="1"/>
  <c r="D16" i="1" s="1"/>
  <c r="T15" i="1"/>
  <c r="C15" i="1"/>
  <c r="D15" i="1" s="1"/>
  <c r="T14" i="1"/>
  <c r="C14" i="1"/>
  <c r="D14" i="1" s="1"/>
  <c r="T13" i="1"/>
  <c r="C13" i="1"/>
  <c r="D13" i="1" s="1"/>
  <c r="T12" i="1"/>
  <c r="C12" i="1"/>
  <c r="D12" i="1" s="1"/>
  <c r="T11" i="1"/>
  <c r="C11" i="1"/>
  <c r="D11" i="1" s="1"/>
  <c r="G18" i="1" l="1"/>
  <c r="I18" i="1"/>
  <c r="G12" i="1"/>
  <c r="I12" i="1"/>
  <c r="G16" i="1"/>
  <c r="I16" i="1"/>
  <c r="G22" i="1"/>
  <c r="I22" i="1"/>
  <c r="G11" i="1"/>
  <c r="I11" i="1"/>
  <c r="G13" i="1"/>
  <c r="I13" i="1"/>
  <c r="G17" i="1"/>
  <c r="I17" i="1"/>
  <c r="G19" i="1"/>
  <c r="I19" i="1"/>
  <c r="G21" i="1"/>
  <c r="I21" i="1"/>
  <c r="G23" i="1"/>
  <c r="I23" i="1"/>
  <c r="G14" i="1"/>
  <c r="I14" i="1"/>
  <c r="G20" i="1"/>
  <c r="I20" i="1"/>
  <c r="G15" i="1"/>
  <c r="I15" i="1"/>
  <c r="K19" i="1" l="1"/>
  <c r="H19" i="1"/>
  <c r="J19" i="1" s="1"/>
  <c r="N19" i="1" s="1"/>
  <c r="P19" i="1" s="1"/>
  <c r="L19" i="1"/>
  <c r="Q19" i="1" s="1"/>
  <c r="R19" i="1" s="1"/>
  <c r="S19" i="1" s="1"/>
  <c r="X19" i="1"/>
  <c r="K16" i="1"/>
  <c r="H16" i="1"/>
  <c r="J16" i="1" s="1"/>
  <c r="N16" i="1" s="1"/>
  <c r="P16" i="1" s="1"/>
  <c r="L16" i="1"/>
  <c r="Q16" i="1" s="1"/>
  <c r="R16" i="1" s="1"/>
  <c r="S16" i="1" s="1"/>
  <c r="X16" i="1"/>
  <c r="K23" i="1"/>
  <c r="H23" i="1"/>
  <c r="J23" i="1" s="1"/>
  <c r="N23" i="1" s="1"/>
  <c r="P23" i="1" s="1"/>
  <c r="L23" i="1"/>
  <c r="Q23" i="1" s="1"/>
  <c r="R23" i="1" s="1"/>
  <c r="S23" i="1" s="1"/>
  <c r="X23" i="1"/>
  <c r="K15" i="1"/>
  <c r="H15" i="1"/>
  <c r="J15" i="1" s="1"/>
  <c r="N15" i="1" s="1"/>
  <c r="P15" i="1" s="1"/>
  <c r="L15" i="1"/>
  <c r="Q15" i="1" s="1"/>
  <c r="R15" i="1" s="1"/>
  <c r="S15" i="1" s="1"/>
  <c r="X15" i="1"/>
  <c r="K20" i="1"/>
  <c r="H20" i="1"/>
  <c r="J20" i="1" s="1"/>
  <c r="N20" i="1" s="1"/>
  <c r="P20" i="1" s="1"/>
  <c r="L20" i="1"/>
  <c r="Q20" i="1" s="1"/>
  <c r="R20" i="1" s="1"/>
  <c r="S20" i="1" s="1"/>
  <c r="X20" i="1"/>
  <c r="K13" i="1"/>
  <c r="H13" i="1"/>
  <c r="J13" i="1" s="1"/>
  <c r="N13" i="1" s="1"/>
  <c r="P13" i="1" s="1"/>
  <c r="L13" i="1"/>
  <c r="Q13" i="1" s="1"/>
  <c r="R13" i="1" s="1"/>
  <c r="S13" i="1" s="1"/>
  <c r="X13" i="1"/>
  <c r="K14" i="1"/>
  <c r="H14" i="1"/>
  <c r="J14" i="1" s="1"/>
  <c r="N14" i="1" s="1"/>
  <c r="P14" i="1" s="1"/>
  <c r="L14" i="1"/>
  <c r="Q14" i="1" s="1"/>
  <c r="R14" i="1" s="1"/>
  <c r="S14" i="1" s="1"/>
  <c r="X14" i="1"/>
  <c r="K21" i="1"/>
  <c r="H21" i="1"/>
  <c r="J21" i="1" s="1"/>
  <c r="N21" i="1" s="1"/>
  <c r="P21" i="1" s="1"/>
  <c r="L21" i="1"/>
  <c r="Q21" i="1" s="1"/>
  <c r="R21" i="1" s="1"/>
  <c r="S21" i="1" s="1"/>
  <c r="X21" i="1"/>
  <c r="K17" i="1"/>
  <c r="H17" i="1"/>
  <c r="J17" i="1" s="1"/>
  <c r="N17" i="1" s="1"/>
  <c r="P17" i="1" s="1"/>
  <c r="L17" i="1"/>
  <c r="Q17" i="1" s="1"/>
  <c r="R17" i="1" s="1"/>
  <c r="S17" i="1" s="1"/>
  <c r="X17" i="1"/>
  <c r="K11" i="1"/>
  <c r="H11" i="1"/>
  <c r="J11" i="1" s="1"/>
  <c r="N11" i="1" s="1"/>
  <c r="P11" i="1" s="1"/>
  <c r="Q11" i="1"/>
  <c r="R11" i="1" s="1"/>
  <c r="S11" i="1" s="1"/>
  <c r="X11" i="1"/>
  <c r="K22" i="1"/>
  <c r="H22" i="1"/>
  <c r="J22" i="1" s="1"/>
  <c r="N22" i="1" s="1"/>
  <c r="P22" i="1" s="1"/>
  <c r="L22" i="1"/>
  <c r="Q22" i="1" s="1"/>
  <c r="R22" i="1" s="1"/>
  <c r="S22" i="1" s="1"/>
  <c r="X22" i="1"/>
  <c r="K12" i="1"/>
  <c r="H12" i="1"/>
  <c r="J12" i="1" s="1"/>
  <c r="N12" i="1" s="1"/>
  <c r="P12" i="1" s="1"/>
  <c r="L12" i="1"/>
  <c r="Q12" i="1" s="1"/>
  <c r="R12" i="1" s="1"/>
  <c r="S12" i="1" s="1"/>
  <c r="X12" i="1"/>
  <c r="K18" i="1"/>
  <c r="H18" i="1"/>
  <c r="J18" i="1" s="1"/>
  <c r="N18" i="1" s="1"/>
  <c r="P18" i="1" s="1"/>
  <c r="L18" i="1"/>
  <c r="Q18" i="1" s="1"/>
  <c r="R18" i="1" s="1"/>
  <c r="S18" i="1" s="1"/>
  <c r="X18" i="1"/>
  <c r="P27" i="1" l="1"/>
  <c r="R26" i="1"/>
  <c r="Z12" i="1"/>
  <c r="Y12" i="1"/>
  <c r="Z17" i="1"/>
  <c r="Y17" i="1"/>
  <c r="Z13" i="1"/>
  <c r="Y13" i="1"/>
  <c r="Z23" i="1"/>
  <c r="Y23" i="1"/>
  <c r="Z18" i="1"/>
  <c r="Y18" i="1"/>
  <c r="Z11" i="1"/>
  <c r="Z14" i="1"/>
  <c r="Y14" i="1"/>
  <c r="Z15" i="1"/>
  <c r="Y15" i="1"/>
  <c r="Z16" i="1"/>
  <c r="Y16" i="1"/>
  <c r="O12" i="1"/>
  <c r="O11" i="1"/>
  <c r="O21" i="1"/>
  <c r="O13" i="1"/>
  <c r="O15" i="1"/>
  <c r="O23" i="1"/>
  <c r="O19" i="1"/>
  <c r="Z22" i="1"/>
  <c r="Y22" i="1"/>
  <c r="Z21" i="1"/>
  <c r="Y21" i="1"/>
  <c r="Z20" i="1"/>
  <c r="Y20" i="1"/>
  <c r="Z19" i="1"/>
  <c r="Y19" i="1"/>
  <c r="O18" i="1"/>
  <c r="O22" i="1"/>
  <c r="O17" i="1"/>
  <c r="O14" i="1"/>
  <c r="O20" i="1"/>
  <c r="O16" i="1"/>
  <c r="O26" i="1" l="1"/>
  <c r="Y26" i="1"/>
  <c r="Z27" i="1"/>
</calcChain>
</file>

<file path=xl/sharedStrings.xml><?xml version="1.0" encoding="utf-8"?>
<sst xmlns="http://schemas.openxmlformats.org/spreadsheetml/2006/main" count="81" uniqueCount="70">
  <si>
    <t>Sex</t>
  </si>
  <si>
    <t>Height Meters</t>
  </si>
  <si>
    <t>Inches calculated</t>
  </si>
  <si>
    <t>IBW Devine Formula</t>
  </si>
  <si>
    <t>Age (years)</t>
  </si>
  <si>
    <t>Serum Creatinine mg/dl</t>
  </si>
  <si>
    <t>Creatinine Clearance (ml/min)</t>
  </si>
  <si>
    <t>Vd (L) = 0.7*IBW</t>
  </si>
  <si>
    <t>K Winter</t>
  </si>
  <si>
    <t>K pepin</t>
  </si>
  <si>
    <t>Pepin Clearance (ml/min)</t>
  </si>
  <si>
    <t>Acutal Level 1</t>
  </si>
  <si>
    <t>Actual Level 2</t>
  </si>
  <si>
    <t>Actual Level 3</t>
  </si>
  <si>
    <t>Cp predict fiting</t>
  </si>
  <si>
    <t>Square Errors fitting</t>
  </si>
  <si>
    <t>Vd (liters)</t>
  </si>
  <si>
    <t>M</t>
  </si>
  <si>
    <t>F</t>
  </si>
  <si>
    <t>Cockcroft-Gualt Equation</t>
  </si>
  <si>
    <t>Cl=0.25*Creatinine Clearance</t>
  </si>
  <si>
    <t>Bias Pepin</t>
  </si>
  <si>
    <t>Bias Winter</t>
  </si>
  <si>
    <t>Sum of Square of Errors Winters</t>
  </si>
  <si>
    <t>Sum of Square of Errors Pepin</t>
  </si>
  <si>
    <t>Average of All Levels</t>
  </si>
  <si>
    <t>Fitting Sum of Square of Errros</t>
  </si>
  <si>
    <t>Predicted - Average Actual Levels</t>
  </si>
  <si>
    <t>Bias Fitting</t>
  </si>
  <si>
    <t>K=Cl*(60/1000)/Vd</t>
  </si>
  <si>
    <t>Winter's Lithium Clearance (ml/min)</t>
  </si>
  <si>
    <t>Data Fittinng Section for Parameter Optimization</t>
  </si>
  <si>
    <t>Parameters to be optimized</t>
  </si>
  <si>
    <t>Winter's Predicted level mmol/L</t>
  </si>
  <si>
    <t>Winter's (Predicted-Average of Actual Levels)</t>
  </si>
  <si>
    <t>Square of Errors Winter's Method</t>
  </si>
  <si>
    <t>Pepin's Predicted Level Pepin</t>
  </si>
  <si>
    <t>Pepin's (Predicted-Average of Actual Levels)</t>
  </si>
  <si>
    <t>Square of Errors Pepin's Method</t>
  </si>
  <si>
    <t>Clearance Winter's (L/Hr) =0.25*(60/1000)*Creatinine Clearance(ml/min)</t>
  </si>
  <si>
    <t>Clearance Pepin (L/Hr) = 0.235 * (60/1000) * Creatinine Clearance (ml/min)</t>
  </si>
  <si>
    <t>Vd population mean =0.7 L/kg lean body weight</t>
  </si>
  <si>
    <t>Cpminss=Dose*exp-(KT)/(Vd*(1-exp(-KT))</t>
  </si>
  <si>
    <t>Observations form above data set</t>
  </si>
  <si>
    <t>Pepin Method</t>
  </si>
  <si>
    <t>Serum Creatinine</t>
  </si>
  <si>
    <t>clcr</t>
  </si>
  <si>
    <t>Cl (l/hr)</t>
  </si>
  <si>
    <t>T1/2</t>
  </si>
  <si>
    <t>Vd</t>
  </si>
  <si>
    <t>Mathmatically this method uses an incorrect method to calculate Vd as if it were a dependent parameter when it is an independent parameter.</t>
  </si>
  <si>
    <t>Note this error causes Vd shrinks as creatinine clearance declines.</t>
  </si>
  <si>
    <t>Setting up a data set for parameter optimization</t>
  </si>
  <si>
    <t xml:space="preserve">Add all relevant patient data that would impact pharmacokinetic parameters (age, height, weight, sex, serum creatinine) in columns along with the patient's serum level.  </t>
  </si>
  <si>
    <t xml:space="preserve">Calculated each individual's predicted level using the appropriate pharmacokinetic equation. </t>
  </si>
  <si>
    <t>Calculate the square of the error for each patient (Predicted -actual level)^2.</t>
  </si>
  <si>
    <t xml:space="preserve">Calculate the prediction error (Predicted - actual level) for each patient. Ths average of total is bias. </t>
  </si>
  <si>
    <t>Open solver select the objective function to minimize which is the sum of the square of the errors. Select the varibles cells (parameters) to optimize and add constaints as necessary.</t>
  </si>
  <si>
    <t>Clearance  ml/min</t>
  </si>
  <si>
    <t>Determine what parameters you wish to optimize. Populate the initial parameters with a questimate of the true parameter, usually population mean values.</t>
  </si>
  <si>
    <t>Run solver. Check if the SSE decreased. Was bias improved?</t>
  </si>
  <si>
    <t>Sum the square of the errors (SSE) for all patients. This is the objective function you wish to minimize using Excel's Sover.</t>
  </si>
  <si>
    <t>You may manually change the parameters to be optimized and see how sensitive the SSE and biasis is parameters change.</t>
  </si>
  <si>
    <t>Data Set From Stip E, Dufresne J. Accuary of the Pepin Method to Determine Appropriate Lithium Dosage in Healthy Volunteers. J Psychiatry Neurosci 2000;26(4):330-5</t>
  </si>
  <si>
    <t>300 mg of lithium = 8.12 mmol</t>
  </si>
  <si>
    <t xml:space="preserve">2. Pepin uses an incorrect method of calculating Vd, an independent parameter, from K and Clearance which results in very small volume of distributions in patient with poor renal function. </t>
  </si>
  <si>
    <t xml:space="preserve">3. The range of patient weights is low and the range of creatinine clearance is too low to determine clearance for patients with renal dysfunction. </t>
  </si>
  <si>
    <t xml:space="preserve">4. The data set above is too small  to optimize parameters (clearnace, volume of distribution) due to limit weight  and renal function variance. </t>
  </si>
  <si>
    <t>Actual Dose per Day</t>
  </si>
  <si>
    <t>1. Winter's and Pepin only vary in the clearance equation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</si>
</sst>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2" fontId="0" fillId="0" borderId="0" xfId="0" applyNumberFormat="1"/>
    <xf numFmtId="2" fontId="0" fillId="0" borderId="2" xfId="0" applyNumberFormat="1" applyBorder="1"/>
    <xf numFmtId="0" fontId="0" fillId="2" borderId="0" xfId="0" applyFill="1"/>
    <xf numFmtId="2" fontId="0" fillId="2" borderId="0" xfId="0" applyNumberFormat="1" applyFill="1"/>
    <xf numFmtId="0" fontId="1" fillId="2" borderId="0" xfId="0" applyFont="1" applyFill="1"/>
    <xf numFmtId="0" fontId="1" fillId="0" borderId="0" xfId="0" applyFont="1"/>
    <xf numFmtId="2" fontId="0" fillId="0" borderId="4" xfId="0" applyNumberFormat="1" applyBorder="1"/>
    <xf numFmtId="0" fontId="0" fillId="3" borderId="0" xfId="0" applyFill="1"/>
    <xf numFmtId="2" fontId="0" fillId="3" borderId="0" xfId="0" applyNumberFormat="1" applyFill="1"/>
    <xf numFmtId="4" fontId="0" fillId="3" borderId="0" xfId="0" applyNumberFormat="1" applyFill="1"/>
    <xf numFmtId="164" fontId="0" fillId="3" borderId="0" xfId="0" applyNumberFormat="1" applyFill="1"/>
    <xf numFmtId="0" fontId="0" fillId="3" borderId="0" xfId="0" applyFill="1" applyAlignment="1">
      <alignment horizontal="right"/>
    </xf>
    <xf numFmtId="0" fontId="0" fillId="4" borderId="0" xfId="0" applyFill="1"/>
    <xf numFmtId="0" fontId="0" fillId="0" borderId="1" xfId="0" applyBorder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3ADF9-1007-4A02-91CD-5E4D8E0F6F83}">
  <dimension ref="A1:AB48"/>
  <sheetViews>
    <sheetView tabSelected="1" topLeftCell="A4" workbookViewId="0">
      <selection activeCell="Q11" sqref="Q11"/>
    </sheetView>
  </sheetViews>
  <sheetFormatPr defaultRowHeight="15" x14ac:dyDescent="0.25"/>
  <cols>
    <col min="1" max="1" width="4.140625" bestFit="1" customWidth="1"/>
    <col min="2" max="2" width="13.7109375" bestFit="1" customWidth="1"/>
    <col min="3" max="3" width="16.28515625" bestFit="1" customWidth="1"/>
    <col min="4" max="4" width="19.28515625" bestFit="1" customWidth="1"/>
    <col min="5" max="5" width="11" bestFit="1" customWidth="1"/>
    <col min="6" max="6" width="22.5703125" bestFit="1" customWidth="1"/>
    <col min="7" max="7" width="28.42578125" bestFit="1" customWidth="1"/>
    <col min="8" max="8" width="34" bestFit="1" customWidth="1"/>
    <col min="9" max="9" width="15.28515625" bestFit="1" customWidth="1"/>
    <col min="10" max="10" width="13" customWidth="1"/>
    <col min="11" max="11" width="24.140625" bestFit="1" customWidth="1"/>
    <col min="12" max="12" width="12" bestFit="1" customWidth="1"/>
    <col min="13" max="13" width="19.5703125" bestFit="1" customWidth="1"/>
    <col min="14" max="14" width="30.28515625" bestFit="1" customWidth="1"/>
    <col min="15" max="15" width="41.7109375" bestFit="1" customWidth="1"/>
    <col min="16" max="16" width="30" customWidth="1"/>
    <col min="17" max="17" width="26.42578125" bestFit="1" customWidth="1"/>
    <col min="18" max="18" width="39.85546875" bestFit="1" customWidth="1"/>
    <col min="19" max="19" width="28.28515625" customWidth="1"/>
    <col min="20" max="20" width="19.7109375" bestFit="1" customWidth="1"/>
    <col min="21" max="23" width="13.28515625" bestFit="1" customWidth="1"/>
    <col min="24" max="24" width="15.28515625" bestFit="1" customWidth="1"/>
    <col min="25" max="25" width="33" bestFit="1" customWidth="1"/>
    <col min="26" max="26" width="18.85546875" bestFit="1" customWidth="1"/>
    <col min="27" max="27" width="9.85546875" bestFit="1" customWidth="1"/>
    <col min="28" max="28" width="22.28515625" bestFit="1" customWidth="1"/>
    <col min="29" max="29" width="18.5703125" bestFit="1" customWidth="1"/>
  </cols>
  <sheetData>
    <row r="1" spans="1:28" x14ac:dyDescent="0.25">
      <c r="B1" t="s">
        <v>63</v>
      </c>
    </row>
    <row r="3" spans="1:28" x14ac:dyDescent="0.25">
      <c r="B3" t="s">
        <v>42</v>
      </c>
    </row>
    <row r="4" spans="1:28" x14ac:dyDescent="0.25">
      <c r="B4" t="s">
        <v>39</v>
      </c>
    </row>
    <row r="5" spans="1:28" x14ac:dyDescent="0.25">
      <c r="B5" t="s">
        <v>40</v>
      </c>
    </row>
    <row r="6" spans="1:28" x14ac:dyDescent="0.25">
      <c r="B6" t="s">
        <v>41</v>
      </c>
    </row>
    <row r="7" spans="1:28" x14ac:dyDescent="0.25">
      <c r="B7" t="s">
        <v>64</v>
      </c>
    </row>
    <row r="9" spans="1:28" x14ac:dyDescent="0.25">
      <c r="G9" s="10" t="s">
        <v>19</v>
      </c>
      <c r="H9" s="10" t="s">
        <v>30</v>
      </c>
      <c r="J9" s="10" t="s">
        <v>8</v>
      </c>
      <c r="X9" s="7" t="s">
        <v>31</v>
      </c>
      <c r="Y9" s="5"/>
      <c r="Z9" s="5"/>
      <c r="AA9" s="7" t="s">
        <v>32</v>
      </c>
      <c r="AB9" s="5"/>
    </row>
    <row r="10" spans="1:28" x14ac:dyDescent="0.25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20</v>
      </c>
      <c r="I10" s="10" t="s">
        <v>7</v>
      </c>
      <c r="J10" s="10" t="s">
        <v>29</v>
      </c>
      <c r="K10" s="14" t="s">
        <v>10</v>
      </c>
      <c r="L10" s="10" t="s">
        <v>9</v>
      </c>
      <c r="M10" s="10" t="s">
        <v>68</v>
      </c>
      <c r="N10" s="10" t="s">
        <v>33</v>
      </c>
      <c r="O10" s="10" t="s">
        <v>34</v>
      </c>
      <c r="P10" s="10" t="s">
        <v>35</v>
      </c>
      <c r="Q10" s="10" t="s">
        <v>36</v>
      </c>
      <c r="R10" s="10" t="s">
        <v>37</v>
      </c>
      <c r="S10" s="10" t="s">
        <v>38</v>
      </c>
      <c r="T10" s="10" t="s">
        <v>25</v>
      </c>
      <c r="U10" s="10" t="s">
        <v>11</v>
      </c>
      <c r="V10" s="10" t="s">
        <v>12</v>
      </c>
      <c r="W10" s="10" t="s">
        <v>13</v>
      </c>
      <c r="X10" s="5" t="s">
        <v>14</v>
      </c>
      <c r="Y10" s="5" t="s">
        <v>27</v>
      </c>
      <c r="Z10" s="5" t="s">
        <v>15</v>
      </c>
      <c r="AA10" s="5" t="s">
        <v>16</v>
      </c>
      <c r="AB10" s="5" t="s">
        <v>58</v>
      </c>
    </row>
    <row r="11" spans="1:28" x14ac:dyDescent="0.25">
      <c r="A11" s="10" t="s">
        <v>17</v>
      </c>
      <c r="B11" s="10">
        <v>1.76</v>
      </c>
      <c r="C11" s="11">
        <f>B11*100/2.54</f>
        <v>69.29133858267717</v>
      </c>
      <c r="D11" s="11">
        <f>(C11-60)*2.3+50</f>
        <v>71.370078740157481</v>
      </c>
      <c r="E11" s="10">
        <v>31</v>
      </c>
      <c r="F11" s="10">
        <v>0.87</v>
      </c>
      <c r="G11" s="11">
        <f>(140-E11)*D11/(72*F11)</f>
        <v>124.19122896994197</v>
      </c>
      <c r="H11" s="12">
        <f>0.25*G11</f>
        <v>31.047807242485494</v>
      </c>
      <c r="I11" s="11">
        <f>0.7*D11</f>
        <v>49.959055118110236</v>
      </c>
      <c r="J11" s="13">
        <f>(H11*60/1000)/I11</f>
        <v>3.7287903667214017E-2</v>
      </c>
      <c r="K11" s="11">
        <f t="shared" ref="K11:K23" si="0">0.235*G11</f>
        <v>29.184938807936362</v>
      </c>
      <c r="L11" s="13">
        <f>0.693/(24/(1-0.95*(1-G11/100)))</f>
        <v>3.5510956496817209E-2</v>
      </c>
      <c r="M11" s="10">
        <v>1950</v>
      </c>
      <c r="N11" s="11">
        <f t="shared" ref="N11:N23" si="1">(M11*8.12/(2*300))*EXP(-J11*12)/(I11*(1-EXP(-J11*12)))</f>
        <v>0.9360420840362611</v>
      </c>
      <c r="O11" s="11">
        <f>N11-T11</f>
        <v>0.10270875070292773</v>
      </c>
      <c r="P11" s="11">
        <f>(N11-T11)^2</f>
        <v>1.0549087470956158E-2</v>
      </c>
      <c r="Q11" s="10">
        <f t="shared" ref="Q11:Q23" si="2">(M11*8.12/(2*300))*EXP(-L11*12)/(I11*(1-EXP(-L11*12)))</f>
        <v>0.99418520588286885</v>
      </c>
      <c r="R11" s="11">
        <f>Q11-T11</f>
        <v>0.16085187254953548</v>
      </c>
      <c r="S11" s="11">
        <f>(R11-T11)^2</f>
        <v>0.4522313150979107</v>
      </c>
      <c r="T11" s="11">
        <f>AVERAGE(U11:W11)</f>
        <v>0.83333333333333337</v>
      </c>
      <c r="U11" s="10">
        <v>0.8</v>
      </c>
      <c r="V11" s="10">
        <v>0.9</v>
      </c>
      <c r="W11" s="10">
        <v>0.8</v>
      </c>
      <c r="X11" s="6">
        <f t="shared" ref="X11:X23" si="3">(M11*8.12/(300*2))*EXP(-AB$11*G11*0.06*12/(AA$11*D11))/(AA$11*D11*(1-EXP((-AB$11*G11*0.06*12)/(AA$11*D11))))</f>
        <v>0.73436106930037381</v>
      </c>
      <c r="Y11" s="6">
        <f>X11-T11</f>
        <v>-9.8972264032959556E-2</v>
      </c>
      <c r="Z11" s="6">
        <f t="shared" ref="Z11:Z23" si="4">(X11-T11)^2</f>
        <v>9.7955090478098594E-3</v>
      </c>
      <c r="AA11" s="5">
        <v>0.94467632144174984</v>
      </c>
      <c r="AB11" s="5">
        <v>0.32213415866828976</v>
      </c>
    </row>
    <row r="12" spans="1:28" x14ac:dyDescent="0.25">
      <c r="A12" s="10" t="s">
        <v>17</v>
      </c>
      <c r="B12" s="10">
        <v>1.78</v>
      </c>
      <c r="C12" s="11">
        <f t="shared" ref="C12:C23" si="5">B12*100/2.54</f>
        <v>70.078740157480311</v>
      </c>
      <c r="D12" s="11">
        <f t="shared" ref="D12:D17" si="6">(C12-60)*2.3+50</f>
        <v>73.181102362204712</v>
      </c>
      <c r="E12" s="10">
        <v>43</v>
      </c>
      <c r="F12" s="10">
        <v>0.87</v>
      </c>
      <c r="G12" s="11">
        <f t="shared" ref="G12:G17" si="7">(140-E12)*D12/(72*F12)</f>
        <v>113.32322683802454</v>
      </c>
      <c r="H12" s="12">
        <f t="shared" ref="H12:H23" si="8">0.25*G12</f>
        <v>28.330806709506135</v>
      </c>
      <c r="I12" s="11">
        <f t="shared" ref="I12:I23" si="9">0.7*D12</f>
        <v>51.226771653543295</v>
      </c>
      <c r="J12" s="13">
        <f t="shared" ref="J12:J23" si="10">(H12*60/1000)/I12</f>
        <v>3.3182813355227152E-2</v>
      </c>
      <c r="K12" s="11">
        <f t="shared" si="0"/>
        <v>26.630958306935764</v>
      </c>
      <c r="L12" s="13">
        <f t="shared" ref="L12:L23" si="11">0.693/(24/(1-0.95*(1-G12/100)))</f>
        <v>3.2529727662005604E-2</v>
      </c>
      <c r="M12" s="10">
        <v>1650</v>
      </c>
      <c r="N12" s="11">
        <f t="shared" si="1"/>
        <v>0.89117949061814272</v>
      </c>
      <c r="O12" s="11">
        <f t="shared" ref="O12:O23" si="12">N12-T12</f>
        <v>9.1179490618142789E-2</v>
      </c>
      <c r="P12" s="11">
        <f t="shared" ref="P12:P23" si="13">(N12-T12)^2</f>
        <v>8.3136995093839889E-3</v>
      </c>
      <c r="Q12" s="10">
        <f t="shared" si="2"/>
        <v>0.91287494887681619</v>
      </c>
      <c r="R12" s="11">
        <f t="shared" ref="R12:R23" si="14">Q12-T12</f>
        <v>0.11287494887681626</v>
      </c>
      <c r="S12" s="11">
        <f t="shared" ref="S12:S23" si="15">(R12-T12)^2</f>
        <v>0.47214083588103778</v>
      </c>
      <c r="T12" s="11">
        <f t="shared" ref="T12:T23" si="16">AVERAGE(U12:W12)</f>
        <v>0.79999999999999993</v>
      </c>
      <c r="U12" s="10">
        <v>0.7</v>
      </c>
      <c r="V12" s="10">
        <v>0.8</v>
      </c>
      <c r="W12" s="10">
        <v>0.9</v>
      </c>
      <c r="X12" s="6">
        <f t="shared" si="3"/>
        <v>0.69828017171161971</v>
      </c>
      <c r="Y12" s="6">
        <f t="shared" ref="Y11:Y23" si="17">X12-T12</f>
        <v>-0.10171982828838022</v>
      </c>
      <c r="Z12" s="6">
        <f t="shared" si="4"/>
        <v>1.0346923467017557E-2</v>
      </c>
      <c r="AA12" s="5"/>
      <c r="AB12" s="5"/>
    </row>
    <row r="13" spans="1:28" x14ac:dyDescent="0.25">
      <c r="A13" s="10" t="s">
        <v>17</v>
      </c>
      <c r="B13" s="10">
        <v>1.75</v>
      </c>
      <c r="C13" s="11">
        <f t="shared" si="5"/>
        <v>68.897637795275585</v>
      </c>
      <c r="D13" s="11">
        <f t="shared" si="6"/>
        <v>70.464566929133838</v>
      </c>
      <c r="E13" s="10">
        <v>18</v>
      </c>
      <c r="F13" s="10">
        <v>0.99</v>
      </c>
      <c r="G13" s="11">
        <f t="shared" si="7"/>
        <v>120.60433733662076</v>
      </c>
      <c r="H13" s="12">
        <f t="shared" si="8"/>
        <v>30.15108433415519</v>
      </c>
      <c r="I13" s="11">
        <f t="shared" si="9"/>
        <v>49.325196850393681</v>
      </c>
      <c r="J13" s="13">
        <f t="shared" si="10"/>
        <v>3.6676286676286682E-2</v>
      </c>
      <c r="K13" s="11">
        <f t="shared" si="0"/>
        <v>28.342019274105876</v>
      </c>
      <c r="L13" s="13">
        <f t="shared" si="11"/>
        <v>3.4527027285651768E-2</v>
      </c>
      <c r="M13" s="10">
        <v>1950</v>
      </c>
      <c r="N13" s="11">
        <f t="shared" si="1"/>
        <v>0.96768631226867241</v>
      </c>
      <c r="O13" s="11">
        <f t="shared" si="12"/>
        <v>-9.8980354397994241E-2</v>
      </c>
      <c r="P13" s="11">
        <f t="shared" si="13"/>
        <v>9.7971105567525377E-3</v>
      </c>
      <c r="Q13" s="10">
        <f t="shared" si="2"/>
        <v>1.0422185550014618</v>
      </c>
      <c r="R13" s="11">
        <f t="shared" si="14"/>
        <v>-2.4448111665204886E-2</v>
      </c>
      <c r="S13" s="11">
        <f t="shared" si="15"/>
        <v>1.1905314594942091</v>
      </c>
      <c r="T13" s="11">
        <f t="shared" si="16"/>
        <v>1.0666666666666667</v>
      </c>
      <c r="U13" s="10">
        <v>1.1000000000000001</v>
      </c>
      <c r="V13" s="10">
        <v>1.2</v>
      </c>
      <c r="W13" s="10">
        <v>0.9</v>
      </c>
      <c r="X13" s="6">
        <f t="shared" si="3"/>
        <v>0.75904317404387378</v>
      </c>
      <c r="Y13" s="6">
        <f t="shared" si="17"/>
        <v>-0.30762349262279287</v>
      </c>
      <c r="Z13" s="6">
        <f t="shared" si="4"/>
        <v>9.4632213213445504E-2</v>
      </c>
      <c r="AA13" s="5"/>
      <c r="AB13" s="5"/>
    </row>
    <row r="14" spans="1:28" x14ac:dyDescent="0.25">
      <c r="A14" s="10" t="s">
        <v>17</v>
      </c>
      <c r="B14" s="10">
        <v>1.75</v>
      </c>
      <c r="C14" s="11">
        <f t="shared" si="5"/>
        <v>68.897637795275585</v>
      </c>
      <c r="D14" s="11">
        <f t="shared" si="6"/>
        <v>70.464566929133838</v>
      </c>
      <c r="E14" s="10">
        <v>38</v>
      </c>
      <c r="F14" s="10">
        <v>0.95</v>
      </c>
      <c r="G14" s="11">
        <f t="shared" si="7"/>
        <v>105.0787401574803</v>
      </c>
      <c r="H14" s="12">
        <f t="shared" si="8"/>
        <v>26.269685039370074</v>
      </c>
      <c r="I14" s="11">
        <f t="shared" si="9"/>
        <v>49.325196850393681</v>
      </c>
      <c r="J14" s="13">
        <f t="shared" si="10"/>
        <v>3.1954887218045125E-2</v>
      </c>
      <c r="K14" s="11">
        <f t="shared" si="0"/>
        <v>24.693503937007868</v>
      </c>
      <c r="L14" s="13">
        <f t="shared" si="11"/>
        <v>3.026816190944881E-2</v>
      </c>
      <c r="M14" s="10">
        <v>1500</v>
      </c>
      <c r="N14" s="11">
        <f t="shared" si="1"/>
        <v>0.88061109739016341</v>
      </c>
      <c r="O14" s="11">
        <f t="shared" si="12"/>
        <v>0.34727776405683008</v>
      </c>
      <c r="P14" s="11">
        <f t="shared" si="13"/>
        <v>0.12060184540831134</v>
      </c>
      <c r="Q14" s="10">
        <f t="shared" si="2"/>
        <v>0.93973079216025091</v>
      </c>
      <c r="R14" s="11">
        <f t="shared" si="14"/>
        <v>0.40639745882691758</v>
      </c>
      <c r="S14" s="11">
        <f t="shared" si="15"/>
        <v>1.6112716236708527E-2</v>
      </c>
      <c r="T14" s="11">
        <f t="shared" si="16"/>
        <v>0.53333333333333333</v>
      </c>
      <c r="U14" s="10">
        <v>0.7</v>
      </c>
      <c r="V14" s="10">
        <v>0.4</v>
      </c>
      <c r="W14" s="10">
        <v>0.5</v>
      </c>
      <c r="X14" s="6">
        <f t="shared" si="3"/>
        <v>0.68974049408183569</v>
      </c>
      <c r="Y14" s="6">
        <f t="shared" si="17"/>
        <v>0.15640716074850236</v>
      </c>
      <c r="Z14" s="6">
        <f t="shared" si="4"/>
        <v>2.4463199933407856E-2</v>
      </c>
      <c r="AA14" s="5"/>
      <c r="AB14" s="5"/>
    </row>
    <row r="15" spans="1:28" x14ac:dyDescent="0.25">
      <c r="A15" s="10" t="s">
        <v>17</v>
      </c>
      <c r="B15" s="10">
        <v>1.69</v>
      </c>
      <c r="C15" s="11">
        <f t="shared" si="5"/>
        <v>66.535433070866148</v>
      </c>
      <c r="D15" s="11">
        <f t="shared" si="6"/>
        <v>65.031496062992133</v>
      </c>
      <c r="E15" s="10">
        <v>23</v>
      </c>
      <c r="F15" s="10">
        <v>0.88</v>
      </c>
      <c r="G15" s="11">
        <f t="shared" si="7"/>
        <v>120.08656943450252</v>
      </c>
      <c r="H15" s="12">
        <f t="shared" si="8"/>
        <v>30.02164235862563</v>
      </c>
      <c r="I15" s="11">
        <f t="shared" si="9"/>
        <v>45.522047244094487</v>
      </c>
      <c r="J15" s="13">
        <f t="shared" si="10"/>
        <v>3.9569805194805199E-2</v>
      </c>
      <c r="K15" s="11">
        <f t="shared" si="0"/>
        <v>28.220343817108091</v>
      </c>
      <c r="L15" s="13">
        <f t="shared" si="11"/>
        <v>3.4384997078001973E-2</v>
      </c>
      <c r="M15" s="10">
        <v>1800</v>
      </c>
      <c r="N15" s="11">
        <f t="shared" si="1"/>
        <v>0.88049777068714219</v>
      </c>
      <c r="O15" s="11">
        <f t="shared" si="12"/>
        <v>0.13049777068714219</v>
      </c>
      <c r="P15" s="11">
        <f t="shared" si="13"/>
        <v>1.7029668154313948E-2</v>
      </c>
      <c r="Q15" s="10">
        <f t="shared" si="2"/>
        <v>1.0476819510124216</v>
      </c>
      <c r="R15" s="11">
        <f t="shared" si="14"/>
        <v>0.29768195101242156</v>
      </c>
      <c r="S15" s="11">
        <f t="shared" si="15"/>
        <v>0.2045916174399294</v>
      </c>
      <c r="T15" s="11">
        <f t="shared" si="16"/>
        <v>0.75</v>
      </c>
      <c r="U15" s="10">
        <v>1.1000000000000001</v>
      </c>
      <c r="V15" s="10">
        <v>0.6</v>
      </c>
      <c r="W15" s="10">
        <v>0.55000000000000004</v>
      </c>
      <c r="X15" s="6">
        <f t="shared" si="3"/>
        <v>0.69127589367380271</v>
      </c>
      <c r="Y15" s="6">
        <f t="shared" si="17"/>
        <v>-5.872410632619729E-2</v>
      </c>
      <c r="Z15" s="6">
        <f t="shared" si="4"/>
        <v>3.4485206638105244E-3</v>
      </c>
      <c r="AA15" s="5"/>
      <c r="AB15" s="5"/>
    </row>
    <row r="16" spans="1:28" x14ac:dyDescent="0.25">
      <c r="A16" s="10" t="s">
        <v>17</v>
      </c>
      <c r="B16" s="10">
        <v>1.73</v>
      </c>
      <c r="C16" s="11">
        <f t="shared" si="5"/>
        <v>68.110236220472444</v>
      </c>
      <c r="D16" s="11">
        <f t="shared" si="6"/>
        <v>68.653543307086622</v>
      </c>
      <c r="E16" s="10">
        <v>31</v>
      </c>
      <c r="F16" s="10">
        <v>0.89</v>
      </c>
      <c r="G16" s="11">
        <f t="shared" si="7"/>
        <v>116.77959145556244</v>
      </c>
      <c r="H16" s="12">
        <f t="shared" si="8"/>
        <v>29.19489786389061</v>
      </c>
      <c r="I16" s="11">
        <f t="shared" si="9"/>
        <v>48.057480314960635</v>
      </c>
      <c r="J16" s="13">
        <f t="shared" si="10"/>
        <v>3.6449973247726052E-2</v>
      </c>
      <c r="K16" s="11">
        <f t="shared" si="0"/>
        <v>27.443203992057171</v>
      </c>
      <c r="L16" s="13">
        <f t="shared" si="11"/>
        <v>3.3477851681153969E-2</v>
      </c>
      <c r="M16" s="10">
        <v>1800</v>
      </c>
      <c r="N16" s="11">
        <f t="shared" si="1"/>
        <v>0.92384938353872603</v>
      </c>
      <c r="O16" s="11">
        <f t="shared" si="12"/>
        <v>0.4371827168720594</v>
      </c>
      <c r="P16" s="11">
        <f t="shared" si="13"/>
        <v>0.19112872793163524</v>
      </c>
      <c r="Q16" s="10">
        <f t="shared" si="2"/>
        <v>1.0252397690042505</v>
      </c>
      <c r="R16" s="11">
        <f t="shared" si="14"/>
        <v>0.53857310233758393</v>
      </c>
      <c r="S16" s="11">
        <f t="shared" si="15"/>
        <v>2.6942780640590754E-3</v>
      </c>
      <c r="T16" s="11">
        <f t="shared" si="16"/>
        <v>0.48666666666666664</v>
      </c>
      <c r="U16" s="10">
        <v>0.49</v>
      </c>
      <c r="V16" s="10">
        <v>0.43</v>
      </c>
      <c r="W16" s="10">
        <v>0.54</v>
      </c>
      <c r="X16" s="6">
        <f t="shared" si="3"/>
        <v>0.72460714315569963</v>
      </c>
      <c r="Y16" s="6">
        <f t="shared" si="17"/>
        <v>0.23794047648903299</v>
      </c>
      <c r="Z16" s="6">
        <f t="shared" si="4"/>
        <v>5.661567035182806E-2</v>
      </c>
      <c r="AA16" s="5"/>
      <c r="AB16" s="5"/>
    </row>
    <row r="17" spans="1:28" x14ac:dyDescent="0.25">
      <c r="A17" s="10" t="s">
        <v>17</v>
      </c>
      <c r="B17" s="10">
        <v>1.72</v>
      </c>
      <c r="C17" s="11">
        <f t="shared" si="5"/>
        <v>67.71653543307086</v>
      </c>
      <c r="D17" s="11">
        <f t="shared" si="6"/>
        <v>67.748031496062978</v>
      </c>
      <c r="E17" s="10">
        <v>34</v>
      </c>
      <c r="F17" s="10">
        <v>1.03</v>
      </c>
      <c r="G17" s="11">
        <f t="shared" si="7"/>
        <v>96.835104349820341</v>
      </c>
      <c r="H17" s="12">
        <f t="shared" si="8"/>
        <v>24.208776087455085</v>
      </c>
      <c r="I17" s="11">
        <f t="shared" si="9"/>
        <v>47.423622047244081</v>
      </c>
      <c r="J17" s="13">
        <f t="shared" si="10"/>
        <v>3.0628756356911705E-2</v>
      </c>
      <c r="K17" s="11">
        <f t="shared" si="0"/>
        <v>22.756249522207778</v>
      </c>
      <c r="L17" s="13">
        <f t="shared" si="11"/>
        <v>2.8006829561960093E-2</v>
      </c>
      <c r="M17" s="10">
        <v>1350</v>
      </c>
      <c r="N17" s="11">
        <f t="shared" si="1"/>
        <v>0.86732135623082729</v>
      </c>
      <c r="O17" s="11">
        <f t="shared" si="12"/>
        <v>0.17065468956416063</v>
      </c>
      <c r="P17" s="11">
        <f t="shared" si="13"/>
        <v>2.9123023070240037E-2</v>
      </c>
      <c r="Q17" s="10">
        <f t="shared" si="2"/>
        <v>0.96444477662813177</v>
      </c>
      <c r="R17" s="11">
        <f t="shared" si="14"/>
        <v>0.26777810996146512</v>
      </c>
      <c r="S17" s="11">
        <f t="shared" si="15"/>
        <v>0.18394539407267088</v>
      </c>
      <c r="T17" s="11">
        <f t="shared" si="16"/>
        <v>0.69666666666666666</v>
      </c>
      <c r="U17" s="10">
        <v>0.74</v>
      </c>
      <c r="V17" s="10">
        <v>0.71</v>
      </c>
      <c r="W17" s="10">
        <v>0.64</v>
      </c>
      <c r="X17" s="6">
        <f t="shared" si="3"/>
        <v>0.67905724807690604</v>
      </c>
      <c r="Y17" s="6">
        <f t="shared" si="17"/>
        <v>-1.7609418589760617E-2</v>
      </c>
      <c r="Z17" s="6">
        <f t="shared" si="4"/>
        <v>3.100916230694068E-4</v>
      </c>
      <c r="AA17" s="5"/>
      <c r="AB17" s="5"/>
    </row>
    <row r="18" spans="1:28" x14ac:dyDescent="0.25">
      <c r="A18" s="10" t="s">
        <v>18</v>
      </c>
      <c r="B18" s="10">
        <v>1.7</v>
      </c>
      <c r="C18" s="11">
        <f t="shared" si="5"/>
        <v>66.929133858267718</v>
      </c>
      <c r="D18" s="11">
        <f>(C18-60)*2.3+ 45.5</f>
        <v>61.437007874015748</v>
      </c>
      <c r="E18" s="10">
        <v>29</v>
      </c>
      <c r="F18" s="10">
        <v>0.87</v>
      </c>
      <c r="G18" s="11">
        <f>0.85*(140-E18)*D18/(72*F18)</f>
        <v>92.538021917518918</v>
      </c>
      <c r="H18" s="12">
        <f t="shared" si="8"/>
        <v>23.13450547937973</v>
      </c>
      <c r="I18" s="11">
        <f t="shared" si="9"/>
        <v>43.005905511811022</v>
      </c>
      <c r="J18" s="13">
        <f t="shared" si="10"/>
        <v>3.2276272577996708E-2</v>
      </c>
      <c r="K18" s="11">
        <f t="shared" si="0"/>
        <v>21.746435150616943</v>
      </c>
      <c r="L18" s="13">
        <f t="shared" si="11"/>
        <v>2.6828086137249411E-2</v>
      </c>
      <c r="M18" s="10">
        <v>1350</v>
      </c>
      <c r="N18" s="11">
        <f t="shared" si="1"/>
        <v>0.89811137197971891</v>
      </c>
      <c r="O18" s="11">
        <f t="shared" si="12"/>
        <v>0.19811137197971884</v>
      </c>
      <c r="P18" s="11">
        <f t="shared" si="13"/>
        <v>3.9248115707686528E-2</v>
      </c>
      <c r="Q18" s="10">
        <f t="shared" si="2"/>
        <v>1.1185564348946524</v>
      </c>
      <c r="R18" s="11">
        <f t="shared" si="14"/>
        <v>0.41855643489465233</v>
      </c>
      <c r="S18" s="11">
        <f t="shared" si="15"/>
        <v>7.9210480339208106E-2</v>
      </c>
      <c r="T18" s="11">
        <f t="shared" si="16"/>
        <v>0.70000000000000007</v>
      </c>
      <c r="U18" s="10">
        <v>0.7</v>
      </c>
      <c r="V18" s="10">
        <v>0.8</v>
      </c>
      <c r="W18" s="10">
        <v>0.6</v>
      </c>
      <c r="X18" s="6">
        <f t="shared" si="3"/>
        <v>0.70351660080696721</v>
      </c>
      <c r="Y18" s="6">
        <f t="shared" si="17"/>
        <v>3.5166008069671406E-3</v>
      </c>
      <c r="Z18" s="6">
        <f t="shared" si="4"/>
        <v>1.2366481235561945E-5</v>
      </c>
      <c r="AA18" s="5"/>
      <c r="AB18" s="5"/>
    </row>
    <row r="19" spans="1:28" x14ac:dyDescent="0.25">
      <c r="A19" s="10" t="s">
        <v>18</v>
      </c>
      <c r="B19" s="10">
        <v>1.74</v>
      </c>
      <c r="C19" s="11">
        <f t="shared" si="5"/>
        <v>68.503937007874015</v>
      </c>
      <c r="D19" s="11">
        <f t="shared" ref="D19:D23" si="18">(C19-60)*2.3+ 45.5</f>
        <v>65.059055118110237</v>
      </c>
      <c r="E19" s="10">
        <v>20</v>
      </c>
      <c r="F19" s="10">
        <v>0.79</v>
      </c>
      <c r="G19" s="11">
        <f t="shared" ref="G19:G23" si="19">0.85*(140-E19)*D19/(72*F19)</f>
        <v>116.6670819628559</v>
      </c>
      <c r="H19" s="12">
        <f t="shared" si="8"/>
        <v>29.166770490713976</v>
      </c>
      <c r="I19" s="11">
        <f t="shared" si="9"/>
        <v>45.541338582677163</v>
      </c>
      <c r="J19" s="13">
        <f t="shared" si="10"/>
        <v>3.8426763110307412E-2</v>
      </c>
      <c r="K19" s="11">
        <f t="shared" si="0"/>
        <v>27.416764261271137</v>
      </c>
      <c r="L19" s="13">
        <f t="shared" si="11"/>
        <v>3.3446988920935908E-2</v>
      </c>
      <c r="M19" s="10">
        <v>1800</v>
      </c>
      <c r="N19" s="11">
        <f t="shared" si="1"/>
        <v>0.91302849928290353</v>
      </c>
      <c r="O19" s="11">
        <f t="shared" si="12"/>
        <v>0.38969516594957021</v>
      </c>
      <c r="P19" s="11">
        <f t="shared" si="13"/>
        <v>0.15186232236446306</v>
      </c>
      <c r="Q19" s="10">
        <f t="shared" si="2"/>
        <v>1.0830961019748129</v>
      </c>
      <c r="R19" s="11">
        <f t="shared" si="14"/>
        <v>0.55976276864147956</v>
      </c>
      <c r="S19" s="11">
        <f t="shared" si="15"/>
        <v>1.3271037568704121E-3</v>
      </c>
      <c r="T19" s="11">
        <f t="shared" si="16"/>
        <v>0.52333333333333332</v>
      </c>
      <c r="U19" s="10">
        <v>0.5</v>
      </c>
      <c r="V19" s="10">
        <v>0.42</v>
      </c>
      <c r="W19" s="10">
        <v>0.65</v>
      </c>
      <c r="X19" s="6">
        <f t="shared" si="3"/>
        <v>0.71655984650192484</v>
      </c>
      <c r="Y19" s="6">
        <f t="shared" si="17"/>
        <v>0.19322651316859152</v>
      </c>
      <c r="Z19" s="6">
        <f t="shared" si="4"/>
        <v>3.733648539129187E-2</v>
      </c>
      <c r="AA19" s="5"/>
      <c r="AB19" s="5"/>
    </row>
    <row r="20" spans="1:28" x14ac:dyDescent="0.25">
      <c r="A20" s="10" t="s">
        <v>18</v>
      </c>
      <c r="B20" s="10">
        <v>1.6</v>
      </c>
      <c r="C20" s="11">
        <f t="shared" si="5"/>
        <v>62.99212598425197</v>
      </c>
      <c r="D20" s="11">
        <f t="shared" si="18"/>
        <v>52.381889763779533</v>
      </c>
      <c r="E20" s="10">
        <v>44</v>
      </c>
      <c r="F20" s="10">
        <v>0.74</v>
      </c>
      <c r="G20" s="11">
        <f t="shared" si="19"/>
        <v>80.224515854437115</v>
      </c>
      <c r="H20" s="12">
        <f t="shared" si="8"/>
        <v>20.056128963609279</v>
      </c>
      <c r="I20" s="11">
        <f t="shared" si="9"/>
        <v>36.667322834645674</v>
      </c>
      <c r="J20" s="13">
        <f t="shared" si="10"/>
        <v>3.2818532818532808E-2</v>
      </c>
      <c r="K20" s="11">
        <f t="shared" si="0"/>
        <v>18.852761225792722</v>
      </c>
      <c r="L20" s="13">
        <f t="shared" si="11"/>
        <v>2.345033750532028E-2</v>
      </c>
      <c r="M20" s="10">
        <v>1050</v>
      </c>
      <c r="N20" s="11">
        <f t="shared" si="1"/>
        <v>0.8029603179025353</v>
      </c>
      <c r="O20" s="11">
        <f t="shared" si="12"/>
        <v>6.9626984569201911E-2</v>
      </c>
      <c r="P20" s="11">
        <f t="shared" si="13"/>
        <v>4.8479169801998812E-3</v>
      </c>
      <c r="Q20" s="10">
        <f t="shared" si="2"/>
        <v>1.1924670962097768</v>
      </c>
      <c r="R20" s="11">
        <f t="shared" si="14"/>
        <v>0.45913376287644336</v>
      </c>
      <c r="S20" s="11">
        <f t="shared" si="15"/>
        <v>7.5185404438742998E-2</v>
      </c>
      <c r="T20" s="11">
        <f t="shared" si="16"/>
        <v>0.73333333333333339</v>
      </c>
      <c r="U20" s="10">
        <v>0.77</v>
      </c>
      <c r="V20" s="10">
        <v>0.66</v>
      </c>
      <c r="W20" s="10">
        <v>0.77</v>
      </c>
      <c r="X20" s="6">
        <f t="shared" si="3"/>
        <v>0.62908625329538204</v>
      </c>
      <c r="Y20" s="6">
        <f t="shared" si="17"/>
        <v>-0.10424708003795136</v>
      </c>
      <c r="Z20" s="6">
        <f t="shared" si="4"/>
        <v>1.0867453696439036E-2</v>
      </c>
      <c r="AA20" s="5"/>
      <c r="AB20" s="5"/>
    </row>
    <row r="21" spans="1:28" x14ac:dyDescent="0.25">
      <c r="A21" s="10" t="s">
        <v>18</v>
      </c>
      <c r="B21" s="10">
        <v>1.57</v>
      </c>
      <c r="C21" s="11">
        <f t="shared" si="5"/>
        <v>61.811023622047244</v>
      </c>
      <c r="D21" s="11">
        <f t="shared" si="18"/>
        <v>49.665354330708659</v>
      </c>
      <c r="E21" s="10">
        <v>34</v>
      </c>
      <c r="F21" s="10">
        <v>0.66</v>
      </c>
      <c r="G21" s="11">
        <f t="shared" si="19"/>
        <v>94.167685715421925</v>
      </c>
      <c r="H21" s="12">
        <f t="shared" si="8"/>
        <v>23.541921428855481</v>
      </c>
      <c r="I21" s="11">
        <f t="shared" si="9"/>
        <v>34.765748031496059</v>
      </c>
      <c r="J21" s="13">
        <f t="shared" si="10"/>
        <v>4.0629509379509383E-2</v>
      </c>
      <c r="K21" s="11">
        <f t="shared" si="0"/>
        <v>22.12940614312415</v>
      </c>
      <c r="L21" s="13">
        <f t="shared" si="11"/>
        <v>2.7275123287811672E-2</v>
      </c>
      <c r="M21" s="10">
        <v>1350</v>
      </c>
      <c r="N21" s="11">
        <f t="shared" si="1"/>
        <v>0.83637321397590847</v>
      </c>
      <c r="O21" s="11">
        <f t="shared" si="12"/>
        <v>0.21637321397590847</v>
      </c>
      <c r="P21" s="11">
        <f t="shared" si="13"/>
        <v>4.6817367726264277E-2</v>
      </c>
      <c r="Q21" s="10">
        <f t="shared" si="2"/>
        <v>1.3571554680075539</v>
      </c>
      <c r="R21" s="11">
        <f t="shared" si="14"/>
        <v>0.73715546800755394</v>
      </c>
      <c r="S21" s="11">
        <f t="shared" si="15"/>
        <v>1.3725403684068995E-2</v>
      </c>
      <c r="T21" s="11">
        <f t="shared" si="16"/>
        <v>0.62</v>
      </c>
      <c r="U21" s="10">
        <v>0.51</v>
      </c>
      <c r="V21" s="10">
        <v>0.59</v>
      </c>
      <c r="W21" s="10">
        <v>0.76</v>
      </c>
      <c r="X21" s="6">
        <f t="shared" si="3"/>
        <v>0.6568519722298376</v>
      </c>
      <c r="Y21" s="6">
        <f t="shared" si="17"/>
        <v>3.6851972229837604E-2</v>
      </c>
      <c r="Z21" s="6">
        <f t="shared" si="4"/>
        <v>1.3580678572287219E-3</v>
      </c>
      <c r="AA21" s="5"/>
      <c r="AB21" s="5"/>
    </row>
    <row r="22" spans="1:28" x14ac:dyDescent="0.25">
      <c r="A22" s="10" t="s">
        <v>18</v>
      </c>
      <c r="B22" s="10">
        <v>1.7</v>
      </c>
      <c r="C22" s="11">
        <f t="shared" si="5"/>
        <v>66.929133858267718</v>
      </c>
      <c r="D22" s="11">
        <f t="shared" si="18"/>
        <v>61.437007874015748</v>
      </c>
      <c r="E22" s="10">
        <v>36</v>
      </c>
      <c r="F22" s="10">
        <v>0.7</v>
      </c>
      <c r="G22" s="11">
        <f t="shared" si="19"/>
        <v>107.75856142982126</v>
      </c>
      <c r="H22" s="12">
        <f t="shared" si="8"/>
        <v>26.939640357455314</v>
      </c>
      <c r="I22" s="11">
        <f t="shared" si="9"/>
        <v>43.005905511811022</v>
      </c>
      <c r="J22" s="13">
        <f t="shared" si="10"/>
        <v>3.7585034013605439E-2</v>
      </c>
      <c r="K22" s="11">
        <f t="shared" si="0"/>
        <v>25.323261936007995</v>
      </c>
      <c r="L22" s="13">
        <f t="shared" si="11"/>
        <v>3.100327038221784E-2</v>
      </c>
      <c r="M22" s="10">
        <v>1650</v>
      </c>
      <c r="N22" s="11">
        <f t="shared" si="1"/>
        <v>0.91107015178872064</v>
      </c>
      <c r="O22" s="11">
        <f t="shared" si="12"/>
        <v>0.20773681845538716</v>
      </c>
      <c r="P22" s="11">
        <f t="shared" si="13"/>
        <v>4.3154585741966484E-2</v>
      </c>
      <c r="Q22" s="10">
        <f t="shared" si="2"/>
        <v>1.152080403816691</v>
      </c>
      <c r="R22" s="11">
        <f t="shared" si="14"/>
        <v>0.44874707048335749</v>
      </c>
      <c r="S22" s="11">
        <f t="shared" si="15"/>
        <v>6.4814165231917062E-2</v>
      </c>
      <c r="T22" s="11">
        <f t="shared" si="16"/>
        <v>0.70333333333333348</v>
      </c>
      <c r="U22" s="10">
        <v>0.81</v>
      </c>
      <c r="V22" s="10">
        <v>0.55000000000000004</v>
      </c>
      <c r="W22" s="10">
        <v>0.75</v>
      </c>
      <c r="X22" s="6">
        <f t="shared" si="3"/>
        <v>0.71483560524485423</v>
      </c>
      <c r="Y22" s="6">
        <f t="shared" si="17"/>
        <v>1.1502271911520756E-2</v>
      </c>
      <c r="Z22" s="6">
        <f t="shared" si="4"/>
        <v>1.3230225912655934E-4</v>
      </c>
      <c r="AA22" s="5"/>
      <c r="AB22" s="5"/>
    </row>
    <row r="23" spans="1:28" x14ac:dyDescent="0.25">
      <c r="A23" s="10" t="s">
        <v>18</v>
      </c>
      <c r="B23" s="10">
        <v>1.64</v>
      </c>
      <c r="C23" s="11">
        <f t="shared" si="5"/>
        <v>64.566929133858267</v>
      </c>
      <c r="D23" s="11">
        <f t="shared" si="18"/>
        <v>56.003937007874015</v>
      </c>
      <c r="E23" s="10">
        <v>43</v>
      </c>
      <c r="F23" s="10">
        <v>0.77</v>
      </c>
      <c r="G23" s="11">
        <f t="shared" si="19"/>
        <v>83.28868337480543</v>
      </c>
      <c r="H23" s="12">
        <f t="shared" si="8"/>
        <v>20.822170843701358</v>
      </c>
      <c r="I23" s="11">
        <f t="shared" si="9"/>
        <v>39.202755905511808</v>
      </c>
      <c r="J23" s="13">
        <f t="shared" si="10"/>
        <v>3.1868429189857765E-2</v>
      </c>
      <c r="K23" s="11">
        <f t="shared" si="0"/>
        <v>19.572840593079274</v>
      </c>
      <c r="L23" s="13">
        <f t="shared" si="11"/>
        <v>2.4290876958251311E-2</v>
      </c>
      <c r="M23" s="10">
        <v>1200</v>
      </c>
      <c r="N23" s="11">
        <f t="shared" si="1"/>
        <v>0.88928841484572085</v>
      </c>
      <c r="O23" s="11">
        <f t="shared" si="12"/>
        <v>0.25262174817905414</v>
      </c>
      <c r="P23" s="11">
        <f t="shared" si="13"/>
        <v>6.3817747653041448E-2</v>
      </c>
      <c r="Q23" s="10">
        <f t="shared" si="2"/>
        <v>1.2240867199651633</v>
      </c>
      <c r="R23" s="11">
        <f t="shared" si="14"/>
        <v>0.58742005329849656</v>
      </c>
      <c r="S23" s="11">
        <f t="shared" si="15"/>
        <v>2.4252289282340354E-3</v>
      </c>
      <c r="T23" s="11">
        <f t="shared" si="16"/>
        <v>0.63666666666666671</v>
      </c>
      <c r="U23" s="10">
        <v>0.7</v>
      </c>
      <c r="V23" s="10">
        <v>0.61</v>
      </c>
      <c r="W23" s="10">
        <v>0.6</v>
      </c>
      <c r="X23" s="6">
        <f t="shared" si="3"/>
        <v>0.69651866077887725</v>
      </c>
      <c r="Y23" s="6">
        <f t="shared" si="17"/>
        <v>5.9851994112210538E-2</v>
      </c>
      <c r="Z23" s="6">
        <f t="shared" si="4"/>
        <v>3.5822611992080851E-3</v>
      </c>
      <c r="AA23" s="5"/>
      <c r="AB23" s="5"/>
    </row>
    <row r="24" spans="1:28" x14ac:dyDescent="0.25">
      <c r="O24" s="3"/>
      <c r="P24" s="3"/>
      <c r="R24" s="3"/>
      <c r="S24" s="3"/>
    </row>
    <row r="25" spans="1:28" ht="15.75" thickBot="1" x14ac:dyDescent="0.3">
      <c r="A25" s="17" t="s">
        <v>43</v>
      </c>
      <c r="O25" s="3"/>
      <c r="P25" s="3"/>
      <c r="R25" s="3"/>
      <c r="S25" s="3"/>
    </row>
    <row r="26" spans="1:28" ht="15.75" thickBot="1" x14ac:dyDescent="0.3">
      <c r="A26" s="15" t="s">
        <v>69</v>
      </c>
      <c r="N26" s="1" t="s">
        <v>22</v>
      </c>
      <c r="O26" s="4">
        <f>AVERAGE(O11:O23)</f>
        <v>0.19343739470862381</v>
      </c>
      <c r="P26" s="3"/>
      <c r="Q26" s="1" t="s">
        <v>21</v>
      </c>
      <c r="R26" s="4">
        <f>AVERAGE(R11:R23)</f>
        <v>0.38234499154627066</v>
      </c>
      <c r="S26" s="3"/>
      <c r="X26" s="1" t="s">
        <v>28</v>
      </c>
      <c r="Y26" s="9">
        <f>AVERAGE(Y11:Y23)</f>
        <v>8.0006150527853843E-4</v>
      </c>
    </row>
    <row r="27" spans="1:28" ht="15.75" thickBot="1" x14ac:dyDescent="0.3">
      <c r="A27" s="15" t="s">
        <v>65</v>
      </c>
      <c r="O27" s="2" t="s">
        <v>23</v>
      </c>
      <c r="P27" s="4">
        <f>SUM(P11:P23)</f>
        <v>0.73629121827521515</v>
      </c>
      <c r="R27" s="2" t="s">
        <v>24</v>
      </c>
      <c r="S27" s="4">
        <f>SUM(S11:S23)</f>
        <v>2.7589354026655668</v>
      </c>
      <c r="Y27" s="16" t="s">
        <v>26</v>
      </c>
      <c r="Z27" s="4">
        <f>SUM(Z11:Z23)</f>
        <v>0.25290106518491862</v>
      </c>
    </row>
    <row r="28" spans="1:28" x14ac:dyDescent="0.25">
      <c r="B28" t="s">
        <v>44</v>
      </c>
    </row>
    <row r="29" spans="1:28" x14ac:dyDescent="0.25">
      <c r="B29" t="s">
        <v>45</v>
      </c>
    </row>
    <row r="30" spans="1:28" x14ac:dyDescent="0.25">
      <c r="B30" t="s">
        <v>46</v>
      </c>
      <c r="C30">
        <v>120</v>
      </c>
      <c r="D30">
        <v>110</v>
      </c>
      <c r="E30">
        <v>100</v>
      </c>
      <c r="F30">
        <v>90</v>
      </c>
      <c r="G30">
        <v>80</v>
      </c>
      <c r="H30">
        <v>70</v>
      </c>
      <c r="I30">
        <v>60</v>
      </c>
      <c r="J30">
        <v>50</v>
      </c>
      <c r="K30">
        <v>40</v>
      </c>
      <c r="L30">
        <v>30</v>
      </c>
      <c r="M30">
        <v>20</v>
      </c>
      <c r="N30">
        <v>10</v>
      </c>
      <c r="O30">
        <v>5</v>
      </c>
    </row>
    <row r="31" spans="1:28" x14ac:dyDescent="0.25">
      <c r="B31" t="s">
        <v>47</v>
      </c>
      <c r="C31">
        <f>0.235*0.06*C30</f>
        <v>1.6919999999999997</v>
      </c>
      <c r="D31">
        <f t="shared" ref="D31:O31" si="20">0.235*0.06*D30</f>
        <v>1.5509999999999997</v>
      </c>
      <c r="E31">
        <f t="shared" si="20"/>
        <v>1.4099999999999997</v>
      </c>
      <c r="F31">
        <f t="shared" si="20"/>
        <v>1.2689999999999999</v>
      </c>
      <c r="G31">
        <f t="shared" si="20"/>
        <v>1.1279999999999999</v>
      </c>
      <c r="H31">
        <f t="shared" si="20"/>
        <v>0.98699999999999988</v>
      </c>
      <c r="I31">
        <f t="shared" si="20"/>
        <v>0.84599999999999986</v>
      </c>
      <c r="J31">
        <f t="shared" si="20"/>
        <v>0.70499999999999985</v>
      </c>
      <c r="K31">
        <f t="shared" si="20"/>
        <v>0.56399999999999995</v>
      </c>
      <c r="L31">
        <f t="shared" si="20"/>
        <v>0.42299999999999993</v>
      </c>
      <c r="M31">
        <f t="shared" si="20"/>
        <v>0.28199999999999997</v>
      </c>
      <c r="N31">
        <f t="shared" si="20"/>
        <v>0.14099999999999999</v>
      </c>
      <c r="O31">
        <f t="shared" si="20"/>
        <v>7.0499999999999993E-2</v>
      </c>
    </row>
    <row r="32" spans="1:28" x14ac:dyDescent="0.25">
      <c r="B32" t="s">
        <v>48</v>
      </c>
      <c r="C32">
        <f>24/(1-0.95*(1-C30/100))</f>
        <v>20.168067226890756</v>
      </c>
      <c r="D32">
        <f t="shared" ref="D32:O32" si="21">24/(1-0.95*(1-D30/100))</f>
        <v>21.917808219178077</v>
      </c>
      <c r="E32">
        <f t="shared" si="21"/>
        <v>24</v>
      </c>
      <c r="F32">
        <f t="shared" si="21"/>
        <v>26.519337016574585</v>
      </c>
      <c r="G32">
        <f t="shared" si="21"/>
        <v>29.629629629629626</v>
      </c>
      <c r="H32">
        <f t="shared" si="21"/>
        <v>33.566433566433567</v>
      </c>
      <c r="I32">
        <f t="shared" si="21"/>
        <v>38.70967741935484</v>
      </c>
      <c r="J32">
        <f t="shared" si="21"/>
        <v>45.714285714285715</v>
      </c>
      <c r="K32">
        <f t="shared" si="21"/>
        <v>55.813953488372086</v>
      </c>
      <c r="L32">
        <f t="shared" si="21"/>
        <v>71.641791044776099</v>
      </c>
      <c r="M32">
        <f t="shared" si="21"/>
        <v>100</v>
      </c>
      <c r="N32">
        <f t="shared" si="21"/>
        <v>165.51724137931032</v>
      </c>
      <c r="O32">
        <f t="shared" si="21"/>
        <v>246.15384615384608</v>
      </c>
    </row>
    <row r="33" spans="1:15" x14ac:dyDescent="0.25">
      <c r="B33" t="s">
        <v>49</v>
      </c>
      <c r="C33">
        <f>C31/(0.693/C32)</f>
        <v>49.241514787733273</v>
      </c>
      <c r="D33">
        <f t="shared" ref="D33:O33" si="22">D31/(0.693/D32)</f>
        <v>49.054142204827123</v>
      </c>
      <c r="E33">
        <f t="shared" si="22"/>
        <v>48.831168831168824</v>
      </c>
      <c r="F33">
        <f t="shared" si="22"/>
        <v>48.561383368013203</v>
      </c>
      <c r="G33">
        <f t="shared" si="22"/>
        <v>48.228314894981558</v>
      </c>
      <c r="H33">
        <f t="shared" si="22"/>
        <v>47.806738715829624</v>
      </c>
      <c r="I33">
        <f t="shared" si="22"/>
        <v>47.255969836614995</v>
      </c>
      <c r="J33">
        <f t="shared" si="22"/>
        <v>46.505875077303642</v>
      </c>
      <c r="K33">
        <f t="shared" si="22"/>
        <v>45.424343098761696</v>
      </c>
      <c r="L33">
        <f t="shared" si="22"/>
        <v>43.729404923434757</v>
      </c>
      <c r="M33">
        <f t="shared" si="22"/>
        <v>40.692640692640694</v>
      </c>
      <c r="N33">
        <f t="shared" si="22"/>
        <v>33.676668159426775</v>
      </c>
      <c r="O33">
        <f t="shared" si="22"/>
        <v>25.041625041625036</v>
      </c>
    </row>
    <row r="34" spans="1:15" x14ac:dyDescent="0.25">
      <c r="C34" t="s">
        <v>50</v>
      </c>
    </row>
    <row r="35" spans="1:15" x14ac:dyDescent="0.25">
      <c r="C35" t="s">
        <v>51</v>
      </c>
    </row>
    <row r="36" spans="1:15" x14ac:dyDescent="0.25">
      <c r="A36" t="s">
        <v>66</v>
      </c>
    </row>
    <row r="37" spans="1:15" x14ac:dyDescent="0.25">
      <c r="A37" t="s">
        <v>67</v>
      </c>
    </row>
    <row r="39" spans="1:15" x14ac:dyDescent="0.25">
      <c r="A39" s="8" t="s">
        <v>52</v>
      </c>
    </row>
    <row r="40" spans="1:15" x14ac:dyDescent="0.25">
      <c r="A40">
        <v>1</v>
      </c>
      <c r="B40" t="s">
        <v>53</v>
      </c>
    </row>
    <row r="41" spans="1:15" x14ac:dyDescent="0.25">
      <c r="A41">
        <v>2</v>
      </c>
      <c r="B41" t="s">
        <v>59</v>
      </c>
    </row>
    <row r="42" spans="1:15" x14ac:dyDescent="0.25">
      <c r="A42">
        <v>3</v>
      </c>
      <c r="B42" t="s">
        <v>54</v>
      </c>
    </row>
    <row r="43" spans="1:15" x14ac:dyDescent="0.25">
      <c r="A43">
        <v>4</v>
      </c>
      <c r="B43" t="s">
        <v>56</v>
      </c>
    </row>
    <row r="44" spans="1:15" x14ac:dyDescent="0.25">
      <c r="A44">
        <v>5</v>
      </c>
      <c r="B44" t="s">
        <v>55</v>
      </c>
    </row>
    <row r="45" spans="1:15" x14ac:dyDescent="0.25">
      <c r="A45">
        <v>6</v>
      </c>
      <c r="B45" t="s">
        <v>61</v>
      </c>
    </row>
    <row r="46" spans="1:15" x14ac:dyDescent="0.25">
      <c r="A46">
        <v>7</v>
      </c>
      <c r="B46" t="s">
        <v>57</v>
      </c>
    </row>
    <row r="47" spans="1:15" x14ac:dyDescent="0.25">
      <c r="A47">
        <v>8</v>
      </c>
      <c r="B47" t="s">
        <v>60</v>
      </c>
    </row>
    <row r="48" spans="1:15" x14ac:dyDescent="0.25">
      <c r="A48">
        <v>9</v>
      </c>
      <c r="B4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marshall</cp:lastModifiedBy>
  <dcterms:created xsi:type="dcterms:W3CDTF">2021-05-21T23:32:06Z</dcterms:created>
  <dcterms:modified xsi:type="dcterms:W3CDTF">2023-09-06T13:57:48Z</dcterms:modified>
</cp:coreProperties>
</file>