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ll\Documents\work files\Piercem\C\DOSING\vancomycin\mue\"/>
    </mc:Choice>
  </mc:AlternateContent>
  <xr:revisionPtr revIDLastSave="0" documentId="8_{DBD6FE2A-46E0-447A-A383-351FA81E1939}" xr6:coauthVersionLast="47" xr6:coauthVersionMax="47" xr10:uidLastSave="{00000000-0000-0000-0000-000000000000}"/>
  <bookViews>
    <workbookView xWindow="-120" yWindow="-120" windowWidth="25440" windowHeight="15390" xr2:uid="{ED3D2908-3C82-4665-A30D-5DDA842FC86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1" i="1"/>
  <c r="C18" i="1"/>
  <c r="M18" i="1"/>
  <c r="M19" i="1" s="1"/>
  <c r="M20" i="1" s="1"/>
  <c r="L18" i="1"/>
  <c r="L19" i="1" s="1"/>
  <c r="L20" i="1" s="1"/>
  <c r="D18" i="1"/>
  <c r="D19" i="1" s="1"/>
  <c r="D20" i="1" s="1"/>
  <c r="E18" i="1"/>
  <c r="E19" i="1" s="1"/>
  <c r="E20" i="1" s="1"/>
  <c r="F18" i="1"/>
  <c r="F19" i="1" s="1"/>
  <c r="F20" i="1" s="1"/>
  <c r="G18" i="1"/>
  <c r="G19" i="1" s="1"/>
  <c r="G20" i="1" s="1"/>
  <c r="H18" i="1"/>
  <c r="H19" i="1" s="1"/>
  <c r="H20" i="1" s="1"/>
  <c r="I18" i="1"/>
  <c r="I19" i="1" s="1"/>
  <c r="I20" i="1" s="1"/>
  <c r="J18" i="1"/>
  <c r="J19" i="1" s="1"/>
  <c r="J20" i="1" s="1"/>
  <c r="K18" i="1"/>
  <c r="K19" i="1" s="1"/>
  <c r="K20" i="1" s="1"/>
  <c r="C16" i="1" l="1"/>
  <c r="L21" i="1" s="1"/>
  <c r="E22" i="1"/>
  <c r="E34" i="1" s="1"/>
  <c r="G22" i="1"/>
  <c r="G34" i="1" s="1"/>
  <c r="L22" i="1"/>
  <c r="L30" i="1" s="1"/>
  <c r="L33" i="1" s="1"/>
  <c r="D22" i="1"/>
  <c r="D30" i="1" s="1"/>
  <c r="D33" i="1" s="1"/>
  <c r="K22" i="1"/>
  <c r="K34" i="1" s="1"/>
  <c r="M22" i="1"/>
  <c r="H22" i="1"/>
  <c r="H34" i="1" s="1"/>
  <c r="C15" i="1"/>
  <c r="J22" i="1"/>
  <c r="J34" i="1" s="1"/>
  <c r="F22" i="1"/>
  <c r="F34" i="1" s="1"/>
  <c r="C22" i="1"/>
  <c r="C30" i="1" s="1"/>
  <c r="I22" i="1"/>
  <c r="I34" i="1" s="1"/>
  <c r="C19" i="1"/>
  <c r="C20" i="1" s="1"/>
  <c r="C25" i="1"/>
  <c r="C24" i="1" s="1"/>
  <c r="M25" i="1"/>
  <c r="M24" i="1" s="1"/>
  <c r="I25" i="1"/>
  <c r="I24" i="1" s="1"/>
  <c r="H25" i="1"/>
  <c r="H24" i="1" s="1"/>
  <c r="E25" i="1"/>
  <c r="E24" i="1" s="1"/>
  <c r="D25" i="1"/>
  <c r="D24" i="1" s="1"/>
  <c r="L25" i="1"/>
  <c r="L24" i="1" s="1"/>
  <c r="K25" i="1"/>
  <c r="K24" i="1" s="1"/>
  <c r="G25" i="1"/>
  <c r="G24" i="1" s="1"/>
  <c r="J25" i="1"/>
  <c r="J24" i="1" s="1"/>
  <c r="F25" i="1"/>
  <c r="F24" i="1" s="1"/>
  <c r="C34" i="1" l="1"/>
  <c r="J21" i="1"/>
  <c r="J23" i="1" s="1"/>
  <c r="J26" i="1" s="1"/>
  <c r="J28" i="1" s="1"/>
  <c r="J29" i="1" s="1"/>
  <c r="M21" i="1"/>
  <c r="M23" i="1" s="1"/>
  <c r="M26" i="1" s="1"/>
  <c r="M28" i="1" s="1"/>
  <c r="M29" i="1" s="1"/>
  <c r="D21" i="1"/>
  <c r="D23" i="1" s="1"/>
  <c r="I21" i="1"/>
  <c r="I23" i="1" s="1"/>
  <c r="I26" i="1" s="1"/>
  <c r="I28" i="1" s="1"/>
  <c r="I29" i="1" s="1"/>
  <c r="K21" i="1"/>
  <c r="K23" i="1" s="1"/>
  <c r="H21" i="1"/>
  <c r="H23" i="1" s="1"/>
  <c r="H26" i="1" s="1"/>
  <c r="H28" i="1" s="1"/>
  <c r="H29" i="1" s="1"/>
  <c r="F21" i="1"/>
  <c r="F23" i="1" s="1"/>
  <c r="E21" i="1"/>
  <c r="E23" i="1" s="1"/>
  <c r="G21" i="1"/>
  <c r="G23" i="1" s="1"/>
  <c r="G26" i="1" s="1"/>
  <c r="G28" i="1" s="1"/>
  <c r="G29" i="1" s="1"/>
  <c r="C21" i="1"/>
  <c r="C23" i="1" s="1"/>
  <c r="C26" i="1" s="1"/>
  <c r="F30" i="1"/>
  <c r="F31" i="1" s="1"/>
  <c r="I30" i="1"/>
  <c r="I33" i="1" s="1"/>
  <c r="I35" i="1" s="1"/>
  <c r="E30" i="1"/>
  <c r="E33" i="1" s="1"/>
  <c r="E35" i="1" s="1"/>
  <c r="C33" i="1"/>
  <c r="C31" i="1"/>
  <c r="D34" i="1"/>
  <c r="D35" i="1" s="1"/>
  <c r="K30" i="1"/>
  <c r="K33" i="1" s="1"/>
  <c r="K35" i="1" s="1"/>
  <c r="L34" i="1"/>
  <c r="L35" i="1" s="1"/>
  <c r="J30" i="1"/>
  <c r="J31" i="1" s="1"/>
  <c r="H30" i="1"/>
  <c r="H31" i="1" s="1"/>
  <c r="G30" i="1"/>
  <c r="L31" i="1"/>
  <c r="D31" i="1"/>
  <c r="I31" i="1"/>
  <c r="M30" i="1"/>
  <c r="M34" i="1"/>
  <c r="L23" i="1"/>
  <c r="C35" i="1" l="1"/>
  <c r="C36" i="1" s="1"/>
  <c r="F33" i="1"/>
  <c r="F35" i="1" s="1"/>
  <c r="C27" i="1"/>
  <c r="I32" i="1"/>
  <c r="E31" i="1"/>
  <c r="K31" i="1"/>
  <c r="H37" i="1"/>
  <c r="J37" i="1"/>
  <c r="I37" i="1"/>
  <c r="H32" i="1"/>
  <c r="J33" i="1"/>
  <c r="J35" i="1" s="1"/>
  <c r="J32" i="1"/>
  <c r="G32" i="1"/>
  <c r="H33" i="1"/>
  <c r="H35" i="1" s="1"/>
  <c r="G33" i="1"/>
  <c r="G35" i="1" s="1"/>
  <c r="M33" i="1"/>
  <c r="M35" i="1" s="1"/>
  <c r="G31" i="1"/>
  <c r="G37" i="1" s="1"/>
  <c r="I36" i="1"/>
  <c r="M31" i="1"/>
  <c r="M37" i="1" s="1"/>
  <c r="F26" i="1"/>
  <c r="F28" i="1" s="1"/>
  <c r="F29" i="1" s="1"/>
  <c r="F32" i="1" s="1"/>
  <c r="C28" i="1"/>
  <c r="C29" i="1" s="1"/>
  <c r="C32" i="1" s="1"/>
  <c r="L26" i="1"/>
  <c r="L28" i="1" s="1"/>
  <c r="L29" i="1" s="1"/>
  <c r="L32" i="1" s="1"/>
  <c r="E26" i="1"/>
  <c r="E28" i="1" s="1"/>
  <c r="E29" i="1" s="1"/>
  <c r="E32" i="1" s="1"/>
  <c r="K26" i="1"/>
  <c r="K28" i="1" s="1"/>
  <c r="K29" i="1" s="1"/>
  <c r="K32" i="1" s="1"/>
  <c r="M32" i="1"/>
  <c r="D26" i="1"/>
  <c r="D28" i="1" s="1"/>
  <c r="D29" i="1" s="1"/>
  <c r="D32" i="1" s="1"/>
  <c r="M36" i="1" l="1"/>
  <c r="G36" i="1"/>
  <c r="J36" i="1"/>
  <c r="H36" i="1"/>
  <c r="L37" i="1"/>
  <c r="D37" i="1"/>
  <c r="E37" i="1"/>
  <c r="F37" i="1"/>
  <c r="K37" i="1"/>
  <c r="K36" i="1"/>
  <c r="D36" i="1"/>
  <c r="E36" i="1"/>
  <c r="L36" i="1"/>
  <c r="F36" i="1"/>
  <c r="C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marshall</author>
  </authors>
  <commentList>
    <comment ref="B5" authorId="0" shapeId="0" xr:uid="{6D5A8D7A-606F-48C0-93B8-D9C4C90DF20E}">
      <text>
        <r>
          <rPr>
            <b/>
            <sz val="9"/>
            <color indexed="81"/>
            <rFont val="Tahoma"/>
            <family val="2"/>
          </rPr>
          <t>Population average value derived from analysis of 44 high flux dialysis patients dosed post HD 1 L/kg.</t>
        </r>
      </text>
    </comment>
    <comment ref="B9" authorId="0" shapeId="0" xr:uid="{C3DA7351-DE3E-4D5E-AA87-848B63DC7B13}">
      <text>
        <r>
          <rPr>
            <b/>
            <sz val="9"/>
            <color indexed="81"/>
            <rFont val="Tahoma"/>
            <family val="2"/>
          </rPr>
          <t xml:space="preserve">Population average value derived from analysis of 44 high flux dialysis patients dosed post HD
 </t>
        </r>
      </text>
    </comment>
    <comment ref="B12" authorId="0" shapeId="0" xr:uid="{39FB8EBB-110F-4CF3-9914-CBD457C78815}">
      <text>
        <r>
          <rPr>
            <b/>
            <sz val="9"/>
            <color indexed="81"/>
            <rFont val="Tahoma"/>
            <family val="2"/>
          </rPr>
          <t xml:space="preserve">Average value derived from analysis of 44 high flux dialysis patients dosed post dialysis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5D2ACFF5-F576-43AA-A12E-12DC8A28610D}">
      <text>
        <r>
          <rPr>
            <b/>
            <sz val="9"/>
            <color indexed="81"/>
            <rFont val="Tahoma"/>
            <family val="2"/>
          </rPr>
          <t>If a patient receives a loading dosing and is dialyzed the same day the replacement dose after dialysis would be the amount lost during dialysis.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<sst xmlns="http://schemas.openxmlformats.org/spreadsheetml/2006/main" count="59" uniqueCount="56">
  <si>
    <t>Weight (kg)</t>
  </si>
  <si>
    <t>Vd(L/kg)</t>
  </si>
  <si>
    <t>hide</t>
  </si>
  <si>
    <t>Volume of Distribution (Liters)</t>
  </si>
  <si>
    <t>K (1/hr)  During Dialysis</t>
  </si>
  <si>
    <t>K (1/hr) Off Dialysis</t>
  </si>
  <si>
    <t>Input Time Between HD Sessions (Hours)</t>
  </si>
  <si>
    <t>?</t>
  </si>
  <si>
    <t>Enter Dialysis Length (Hours)</t>
  </si>
  <si>
    <t>Fraction of Amount In Body Eliminated During Dialysis</t>
  </si>
  <si>
    <t>Double Check</t>
  </si>
  <si>
    <t>Post Dialysis Serum Level (mg/L)</t>
  </si>
  <si>
    <t>Amount In Body Post Dialysis (mg)</t>
  </si>
  <si>
    <t>Amount Lost During Dialysis (mg)</t>
  </si>
  <si>
    <t>Total Amount In Body Pre Dialysis with Desired Level Entered (mg)</t>
  </si>
  <si>
    <t>Amount in Body Post Dose (mg)</t>
  </si>
  <si>
    <t>checking</t>
  </si>
  <si>
    <t xml:space="preserve">Vancomycin Elimination During and Between Dialysis Sessions in High Flux Dialysis Patients Dosed Once Dialysis is Complete  </t>
  </si>
  <si>
    <t>Enter Pre HD Serum Level Desired (mg/L)</t>
  </si>
  <si>
    <t>Dose Required Post HD To Maintain Desired Trough (mg)</t>
  </si>
  <si>
    <t>Loading Dose (mg/kg)</t>
  </si>
  <si>
    <t xml:space="preserve">Loading Dose Required to Obtain a Peak of 25 mcg/ml  </t>
  </si>
  <si>
    <t>Calculated Level Before Next HD (mg/L)</t>
  </si>
  <si>
    <t>AUC mg*hr/L per 24 hours</t>
  </si>
  <si>
    <t>Amount Lost Post Dialysis Between Dialysis Sessions (mg)</t>
  </si>
  <si>
    <t>https://pkineticdrugdosing.com</t>
  </si>
  <si>
    <t>Level Pre HD (mg/L)</t>
  </si>
  <si>
    <t>Serum Level  Required at End of Post HD Dose to Maintain Desired Trough Assuming Dose is Given Immedialely Post HD (mg/L)</t>
  </si>
  <si>
    <t>Fractional Amount In Body Lost Between Dialysis Sessions (mg)</t>
  </si>
  <si>
    <t xml:space="preserve">between dialysis sessions than during dialysis. </t>
  </si>
  <si>
    <t>Renal Clearance of Dialysis Patient (ml/min)</t>
  </si>
  <si>
    <t>HD Clearanace Multiplier</t>
  </si>
  <si>
    <t>HD Clearance (L/Hour) after Multiplier Applied</t>
  </si>
  <si>
    <t>Clearance from Hemodialysis  (L/Hour) Population Mean</t>
  </si>
  <si>
    <t>Renal Clearance Multipier</t>
  </si>
  <si>
    <t>Renal Clearance (L/Hour) after Multiplier Applied</t>
  </si>
  <si>
    <t>Renal Clearance of Dialysis Patient (L/Hour) Population Mean</t>
  </si>
  <si>
    <t xml:space="preserve"> </t>
  </si>
  <si>
    <t>Fractional amount of drug in body that is lost during dialysis session = 1-exp(-(Cl dialysis + Cl renal )* Length of Dialysis  / Vd)</t>
  </si>
  <si>
    <t>Fractional amount of drug in body that is lost between dialsysi sessions = 1-exp(-(Cl renal)*Time Between Dialysis Sessions / Vd)</t>
  </si>
  <si>
    <t>Total Clearance During Dialysis (L/Hour) (Dialysis + Renal)</t>
  </si>
  <si>
    <t>Selecct HD Clearance Multiplier (Used to Model Impact of Varying HD Clearances) - Drop Down Box</t>
  </si>
  <si>
    <t>Select Renal Clearance Multiplier (Used to Model Impact of Residual Renal Function) - Drop Down Box</t>
  </si>
  <si>
    <t>Select Vd (L/kg) Population Mean 1 (L/kg) - Drop Down Box (Used to Model Impact of Varying Vds) - Drop Down Box</t>
  </si>
  <si>
    <t xml:space="preserve">As patient weight increases so does their volume of distribution. The loading dose is related to the weight and Vd. If a patient receives a loading dose </t>
  </si>
  <si>
    <t>and is dialyzed the same day the replacement dose after dialysis would be the amount lost during dialysis and is less than the normal maintenance dose.</t>
  </si>
  <si>
    <t>Clearance is unrelated to weight and the elimination rate constant decreases as weight increases (K=Cl/Vd). As patient weight increases the total amount</t>
  </si>
  <si>
    <t xml:space="preserve">of drug in the body must increase to maintain the same level. These factors and the limited duration of dialysis cause the amount of drug lost during dialysis </t>
  </si>
  <si>
    <t>not to change much for varying weights and maintenance doses are similar.</t>
  </si>
  <si>
    <t>Even though renal clearance is very low compared to dialysis clearance the time for renal clearance is much longer and a greater amount of drug is eliminated</t>
  </si>
  <si>
    <t>Length of dialysis, HD clearance, residual renal function and frequency of dialysis impact maintenance dose requirements. More frequent dialysis schedules (daily)</t>
  </si>
  <si>
    <t>require lower maintenance doses as less renal elimination occurs.</t>
  </si>
  <si>
    <t xml:space="preserve">Vd, HD clearance, renal clearance have little impact on the AUC  if the dose is adjusted to maintain the same trough. </t>
  </si>
  <si>
    <t xml:space="preserve">The desired/obtained trough has the greatest impact on AUC. Target troughs of 15 -20 mcg/ml give AUCs ~ 400-600 for most weights and are recommended in the guidelines. </t>
  </si>
  <si>
    <t xml:space="preserve">Higher troughs produced AUCs above 600 mg*hour/L per 24 hours with the potential to impact residual renal function. Quality of life is better in HD patients with higher </t>
  </si>
  <si>
    <t>residual renal function. Overdosing or excessive AUCs should be avoided to minimize the impact on residual renal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</si>
</sst>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wrapText="1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Protection="1">
      <protection locked="0"/>
    </xf>
    <xf numFmtId="0" fontId="0" fillId="0" borderId="0" xfId="0" applyFont="1"/>
    <xf numFmtId="1" fontId="0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0" fillId="3" borderId="0" xfId="0" applyFont="1" applyFill="1"/>
    <xf numFmtId="2" fontId="0" fillId="3" borderId="0" xfId="0" applyNumberFormat="1" applyFont="1" applyFill="1"/>
    <xf numFmtId="1" fontId="0" fillId="3" borderId="0" xfId="0" applyNumberFormat="1" applyFill="1"/>
    <xf numFmtId="1" fontId="0" fillId="3" borderId="0" xfId="0" applyNumberFormat="1" applyFont="1" applyFill="1"/>
    <xf numFmtId="0" fontId="1" fillId="3" borderId="0" xfId="0" applyFont="1" applyFill="1"/>
    <xf numFmtId="1" fontId="1" fillId="3" borderId="0" xfId="0" applyNumberFormat="1" applyFont="1" applyFill="1"/>
    <xf numFmtId="0" fontId="4" fillId="0" borderId="0" xfId="1"/>
    <xf numFmtId="0" fontId="0" fillId="0" borderId="0" xfId="0" applyFill="1"/>
    <xf numFmtId="3" fontId="0" fillId="0" borderId="0" xfId="0" applyNumberFormat="1" applyFill="1"/>
    <xf numFmtId="2" fontId="0" fillId="0" borderId="0" xfId="0" applyNumberFormat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Fraction of Amount In Body Removed During High</a:t>
            </a:r>
            <a:r>
              <a:rPr lang="en-US" baseline="0"/>
              <a:t> Flux HD Session</a:t>
            </a:r>
            <a:endParaRPr lang="en-US"/>
          </a:p>
        </c:rich>
      </c:tx>
      <c:layout>
        <c:manualLayout>
          <c:xMode val="edge"/>
          <c:yMode val="edge"/>
          <c:x val="0.1449862204724409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Sheet1!$C$23:$M$23</c:f>
              <c:numCache>
                <c:formatCode>#,##0.00</c:formatCode>
                <c:ptCount val="11"/>
                <c:pt idx="0">
                  <c:v>0.28869751240694075</c:v>
                </c:pt>
                <c:pt idx="1">
                  <c:v>0.23854636887657754</c:v>
                </c:pt>
                <c:pt idx="2">
                  <c:v>0.20316288999912879</c:v>
                </c:pt>
                <c:pt idx="3">
                  <c:v>0.17688670647198235</c:v>
                </c:pt>
                <c:pt idx="4">
                  <c:v>0.15661249262687127</c:v>
                </c:pt>
                <c:pt idx="5">
                  <c:v>0.14049903664959928</c:v>
                </c:pt>
                <c:pt idx="6">
                  <c:v>0.12738689493944544</c:v>
                </c:pt>
                <c:pt idx="7">
                  <c:v>0.1165101313218414</c:v>
                </c:pt>
                <c:pt idx="8">
                  <c:v>0.10734266932889014</c:v>
                </c:pt>
                <c:pt idx="9">
                  <c:v>9.9511326365148922E-2</c:v>
                </c:pt>
                <c:pt idx="10">
                  <c:v>8.6838020905524838E-2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E7-4C5C-9601-5F7F8DFC2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02696"/>
        <c:axId val="733707288"/>
      </c:scatterChart>
      <c:valAx>
        <c:axId val="73370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07288"/>
        <c:crosses val="autoZero"/>
        <c:crossBetween val="midCat"/>
      </c:valAx>
      <c:valAx>
        <c:axId val="7337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02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Amount (mg) Removed</a:t>
            </a:r>
            <a:r>
              <a:rPr lang="en-US" baseline="0"/>
              <a:t> From Body During High Flux HD 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Sheet1!$C$26:$M$26</c:f>
              <c:numCache>
                <c:formatCode>0</c:formatCode>
                <c:ptCount val="11"/>
                <c:pt idx="0">
                  <c:v>230.9580099255526</c:v>
                </c:pt>
                <c:pt idx="1">
                  <c:v>238.54636887657753</c:v>
                </c:pt>
                <c:pt idx="2">
                  <c:v>243.79546799895456</c:v>
                </c:pt>
                <c:pt idx="3">
                  <c:v>247.64138906077528</c:v>
                </c:pt>
                <c:pt idx="4">
                  <c:v>250.57998820299403</c:v>
                </c:pt>
                <c:pt idx="5">
                  <c:v>252.89826596927873</c:v>
                </c:pt>
                <c:pt idx="6">
                  <c:v>254.77378987889088</c:v>
                </c:pt>
                <c:pt idx="7">
                  <c:v>256.32228890805106</c:v>
                </c:pt>
                <c:pt idx="8">
                  <c:v>257.62240638933633</c:v>
                </c:pt>
                <c:pt idx="9">
                  <c:v>258.7294485493872</c:v>
                </c:pt>
                <c:pt idx="10">
                  <c:v>260.51406271657453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9C-457C-9BDD-6BC389207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202216"/>
        <c:axId val="718756128"/>
      </c:scatterChart>
      <c:valAx>
        <c:axId val="72120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756128"/>
        <c:crosses val="autoZero"/>
        <c:crossBetween val="midCat"/>
      </c:valAx>
      <c:valAx>
        <c:axId val="718756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Removed During HD (mg)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20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 High Flux Dialysis Dose Required (mg) To Maintain</a:t>
            </a:r>
            <a:r>
              <a:rPr lang="en-US" baseline="0"/>
              <a:t> Desired Pre HD Trough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Sheet1!$C$32:$M$32</c:f>
              <c:numCache>
                <c:formatCode>0</c:formatCode>
                <c:ptCount val="11"/>
                <c:pt idx="0">
                  <c:v>776.39511936294593</c:v>
                </c:pt>
                <c:pt idx="1">
                  <c:v>754.26549947234389</c:v>
                </c:pt>
                <c:pt idx="2">
                  <c:v>740.85413522257318</c:v>
                </c:pt>
                <c:pt idx="3">
                  <c:v>731.90393555839694</c:v>
                </c:pt>
                <c:pt idx="4">
                  <c:v>725.52546946260009</c:v>
                </c:pt>
                <c:pt idx="5">
                  <c:v>720.75828714417628</c:v>
                </c:pt>
                <c:pt idx="6">
                  <c:v>717.06469925232773</c:v>
                </c:pt>
                <c:pt idx="7">
                  <c:v>714.12111028008246</c:v>
                </c:pt>
                <c:pt idx="8">
                  <c:v>711.72149413548004</c:v>
                </c:pt>
                <c:pt idx="9">
                  <c:v>709.72862966291598</c:v>
                </c:pt>
                <c:pt idx="10">
                  <c:v>706.61107091991914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D1-4D2A-88D4-C158E51D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876912"/>
        <c:axId val="735870680"/>
      </c:scatterChart>
      <c:valAx>
        <c:axId val="735876912"/>
        <c:scaling>
          <c:orientation val="minMax"/>
          <c:max val="16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70680"/>
        <c:crosses val="autoZero"/>
        <c:crossBetween val="midCat"/>
        <c:majorUnit val="10"/>
      </c:valAx>
      <c:valAx>
        <c:axId val="73587068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  <a:r>
                  <a:rPr lang="en-US" baseline="0"/>
                  <a:t> Required (mg)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7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Amount</a:t>
            </a:r>
            <a:r>
              <a:rPr lang="en-US" baseline="0"/>
              <a:t> (mg) Removed From Body Between High Flux HD 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58092738407698"/>
          <c:y val="0.2600925925925926"/>
          <c:w val="0.81841907261592306"/>
          <c:h val="0.5435958005249343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Sheet1!$C$35:$M$35</c:f>
              <c:numCache>
                <c:formatCode>0</c:formatCode>
                <c:ptCount val="11"/>
                <c:pt idx="0">
                  <c:v>545.43710943739336</c:v>
                </c:pt>
                <c:pt idx="1">
                  <c:v>515.71913059576627</c:v>
                </c:pt>
                <c:pt idx="2">
                  <c:v>497.05866722361861</c:v>
                </c:pt>
                <c:pt idx="3">
                  <c:v>484.26254649762177</c:v>
                </c:pt>
                <c:pt idx="4">
                  <c:v>474.94548125960614</c:v>
                </c:pt>
                <c:pt idx="5">
                  <c:v>467.8600211748975</c:v>
                </c:pt>
                <c:pt idx="6">
                  <c:v>462.2909093734367</c:v>
                </c:pt>
                <c:pt idx="7">
                  <c:v>457.79882137203145</c:v>
                </c:pt>
                <c:pt idx="8">
                  <c:v>454.09908774614365</c:v>
                </c:pt>
                <c:pt idx="9">
                  <c:v>450.99918111352849</c:v>
                </c:pt>
                <c:pt idx="10">
                  <c:v>446.09700820334444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37-4A00-BBF3-24139A6B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375752"/>
        <c:axId val="745371816"/>
      </c:scatterChart>
      <c:valAx>
        <c:axId val="74537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371816"/>
        <c:crosses val="autoZero"/>
        <c:crossBetween val="midCat"/>
      </c:valAx>
      <c:valAx>
        <c:axId val="74537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Removed Between HD Sessions</a:t>
                </a:r>
              </a:p>
            </c:rich>
          </c:tx>
          <c:layout>
            <c:manualLayout>
              <c:xMode val="edge"/>
              <c:yMode val="edge"/>
              <c:x val="2.1652668416447945E-2"/>
              <c:y val="0.20796239291734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37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Fractional of</a:t>
            </a:r>
            <a:r>
              <a:rPr lang="en-US" baseline="0"/>
              <a:t> Amount In Body Removed Lost Between Dialysis 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Sheet1!$C$34:$M$34</c:f>
              <c:numCache>
                <c:formatCode>0.00</c:formatCode>
                <c:ptCount val="11"/>
                <c:pt idx="0">
                  <c:v>0.4053976998341251</c:v>
                </c:pt>
                <c:pt idx="1">
                  <c:v>0.34024716069464567</c:v>
                </c:pt>
                <c:pt idx="2">
                  <c:v>0.29289421563534079</c:v>
                </c:pt>
                <c:pt idx="3">
                  <c:v>0.25700375321780189</c:v>
                </c:pt>
                <c:pt idx="4">
                  <c:v>0.22889540257765617</c:v>
                </c:pt>
                <c:pt idx="5">
                  <c:v>0.2063002199459012</c:v>
                </c:pt>
                <c:pt idx="6">
                  <c:v>0.18774829067255616</c:v>
                </c:pt>
                <c:pt idx="7">
                  <c:v>0.17224735660605894</c:v>
                </c:pt>
                <c:pt idx="8">
                  <c:v>0.15910417746033534</c:v>
                </c:pt>
                <c:pt idx="9">
                  <c:v>0.14782015803390891</c:v>
                </c:pt>
                <c:pt idx="10">
                  <c:v>0.12944992759676299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8-44DF-948A-828324643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298208"/>
        <c:axId val="599295256"/>
      </c:scatterChart>
      <c:valAx>
        <c:axId val="59929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95256"/>
        <c:crosses val="autoZero"/>
        <c:crossBetween val="midCat"/>
      </c:valAx>
      <c:valAx>
        <c:axId val="59929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9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Amont</a:t>
            </a:r>
            <a:r>
              <a:rPr lang="en-US" baseline="0"/>
              <a:t> (mg) Removed from Body During Dialysis (Blue) and Between Dialysis Sessions (Orange)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Amount Lost During Dialysis (mg)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Sheet1!$C$26:$M$26</c:f>
              <c:numCache>
                <c:formatCode>0</c:formatCode>
                <c:ptCount val="11"/>
                <c:pt idx="0">
                  <c:v>230.9580099255526</c:v>
                </c:pt>
                <c:pt idx="1">
                  <c:v>238.54636887657753</c:v>
                </c:pt>
                <c:pt idx="2">
                  <c:v>243.79546799895456</c:v>
                </c:pt>
                <c:pt idx="3">
                  <c:v>247.64138906077528</c:v>
                </c:pt>
                <c:pt idx="4">
                  <c:v>250.57998820299403</c:v>
                </c:pt>
                <c:pt idx="5">
                  <c:v>252.89826596927873</c:v>
                </c:pt>
                <c:pt idx="6">
                  <c:v>254.77378987889088</c:v>
                </c:pt>
                <c:pt idx="7">
                  <c:v>256.32228890805106</c:v>
                </c:pt>
                <c:pt idx="8">
                  <c:v>257.62240638933633</c:v>
                </c:pt>
                <c:pt idx="9">
                  <c:v>258.7294485493872</c:v>
                </c:pt>
                <c:pt idx="10">
                  <c:v>260.51406271657453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E1-445D-A910-43E96C1430FA}"/>
            </c:ext>
          </c:extLst>
        </c:ser>
        <c:ser>
          <c:idx val="1"/>
          <c:order val="1"/>
          <c:tx>
            <c:strRef>
              <c:f>Sheet1!$B$35</c:f>
              <c:strCache>
                <c:ptCount val="1"/>
                <c:pt idx="0">
                  <c:v>Amount Lost Post Dialysis Between Dialysis Sessions (mg)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Sheet1!$C$35:$M$35</c:f>
              <c:numCache>
                <c:formatCode>0</c:formatCode>
                <c:ptCount val="11"/>
                <c:pt idx="0">
                  <c:v>545.43710943739336</c:v>
                </c:pt>
                <c:pt idx="1">
                  <c:v>515.71913059576627</c:v>
                </c:pt>
                <c:pt idx="2">
                  <c:v>497.05866722361861</c:v>
                </c:pt>
                <c:pt idx="3">
                  <c:v>484.26254649762177</c:v>
                </c:pt>
                <c:pt idx="4">
                  <c:v>474.94548125960614</c:v>
                </c:pt>
                <c:pt idx="5">
                  <c:v>467.8600211748975</c:v>
                </c:pt>
                <c:pt idx="6">
                  <c:v>462.2909093734367</c:v>
                </c:pt>
                <c:pt idx="7">
                  <c:v>457.79882137203145</c:v>
                </c:pt>
                <c:pt idx="8">
                  <c:v>454.09908774614365</c:v>
                </c:pt>
                <c:pt idx="9">
                  <c:v>450.99918111352849</c:v>
                </c:pt>
                <c:pt idx="10">
                  <c:v>446.09700820334444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E1-445D-A910-43E96C14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37696"/>
        <c:axId val="359041304"/>
      </c:scatterChart>
      <c:valAx>
        <c:axId val="35903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41304"/>
        <c:crosses val="autoZero"/>
        <c:crossBetween val="midCat"/>
      </c:valAx>
      <c:valAx>
        <c:axId val="35904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Removed (mg)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3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AUC Versus Weight for Input</a:t>
            </a:r>
            <a:r>
              <a:rPr lang="en-US" baseline="0"/>
              <a:t> Trough mcg/ml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13648293963254"/>
          <c:y val="0.19486111111111112"/>
          <c:w val="0.78630796150481175"/>
          <c:h val="0.5984101615000275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Sheet1!$C$17:$M$17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</c:numCache>
            </c:numRef>
          </c:xVal>
          <c:yVal>
            <c:numRef>
              <c:f>Sheet1!$C$37:$M$37</c:f>
              <c:numCache>
                <c:formatCode>0</c:formatCode>
                <c:ptCount val="11"/>
                <c:pt idx="0">
                  <c:v>642.41426707507298</c:v>
                </c:pt>
                <c:pt idx="1">
                  <c:v>609.43347574544225</c:v>
                </c:pt>
                <c:pt idx="2">
                  <c:v>588.80533099244883</c:v>
                </c:pt>
                <c:pt idx="3">
                  <c:v>574.69993876359638</c:v>
                </c:pt>
                <c:pt idx="4">
                  <c:v>564.45159261491278</c:v>
                </c:pt>
                <c:pt idx="5">
                  <c:v>556.67101717755543</c:v>
                </c:pt>
                <c:pt idx="6">
                  <c:v>550.56383640929857</c:v>
                </c:pt>
                <c:pt idx="7">
                  <c:v>545.64323124758448</c:v>
                </c:pt>
                <c:pt idx="8">
                  <c:v>541.59435135804961</c:v>
                </c:pt>
                <c:pt idx="9">
                  <c:v>538.20459733323719</c:v>
                </c:pt>
                <c:pt idx="10">
                  <c:v>532.84919383102772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C2-43A3-A3A5-B9FFE1ED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326216"/>
        <c:axId val="654326544"/>
      </c:scatterChart>
      <c:valAx>
        <c:axId val="654326216"/>
        <c:scaling>
          <c:orientation val="minMax"/>
          <c:max val="16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26544"/>
        <c:crosses val="autoZero"/>
        <c:crossBetween val="midCat"/>
        <c:majorUnit val="10"/>
      </c:valAx>
      <c:valAx>
        <c:axId val="65432654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AUC (mg*hour/L</a:t>
                </a:r>
                <a:r>
                  <a:rPr lang="en-US" baseline="0"/>
                  <a:t> per 24 hours)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26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70</xdr:row>
      <xdr:rowOff>100012</xdr:rowOff>
    </xdr:from>
    <xdr:to>
      <xdr:col>7</xdr:col>
      <xdr:colOff>66675</xdr:colOff>
      <xdr:row>84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76D06A-4740-4048-B2D8-3378734C3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85</xdr:row>
      <xdr:rowOff>52387</xdr:rowOff>
    </xdr:from>
    <xdr:to>
      <xdr:col>7</xdr:col>
      <xdr:colOff>66675</xdr:colOff>
      <xdr:row>99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457FE-126F-4486-A581-2275EC1BD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4</xdr:row>
      <xdr:rowOff>23812</xdr:rowOff>
    </xdr:from>
    <xdr:to>
      <xdr:col>10</xdr:col>
      <xdr:colOff>342900</xdr:colOff>
      <xdr:row>14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0F5196-AB75-40D9-9B08-48F644EF0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</xdr:colOff>
      <xdr:row>85</xdr:row>
      <xdr:rowOff>4761</xdr:rowOff>
    </xdr:from>
    <xdr:to>
      <xdr:col>15</xdr:col>
      <xdr:colOff>309562</xdr:colOff>
      <xdr:row>99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AAC449-CD0F-44A5-A0D8-9F2595399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600075</xdr:colOff>
      <xdr:row>70</xdr:row>
      <xdr:rowOff>185737</xdr:rowOff>
    </xdr:from>
    <xdr:to>
      <xdr:col>15</xdr:col>
      <xdr:colOff>295275</xdr:colOff>
      <xdr:row>85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CE0AD9-31D2-E1E8-A2BD-62EB1436B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55</xdr:row>
      <xdr:rowOff>147637</xdr:rowOff>
    </xdr:from>
    <xdr:to>
      <xdr:col>7</xdr:col>
      <xdr:colOff>47625</xdr:colOff>
      <xdr:row>70</xdr:row>
      <xdr:rowOff>33337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72F16C-68A3-64B8-A86C-6C0F5E07D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333375</xdr:colOff>
      <xdr:row>4</xdr:row>
      <xdr:rowOff>23812</xdr:rowOff>
    </xdr:from>
    <xdr:to>
      <xdr:col>18</xdr:col>
      <xdr:colOff>28575</xdr:colOff>
      <xdr:row>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C4152AB-F096-C942-50AF-8EE3069AA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kineticdrugdosing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3B9D-451F-41FD-A0D9-A73F42578A41}">
  <sheetPr>
    <pageSetUpPr fitToPage="1"/>
  </sheetPr>
  <dimension ref="A1:M55"/>
  <sheetViews>
    <sheetView tabSelected="1" topLeftCell="B31" workbookViewId="0">
      <selection activeCell="Q3" sqref="Q3"/>
    </sheetView>
  </sheetViews>
  <sheetFormatPr defaultRowHeight="15" x14ac:dyDescent="0.25"/>
  <cols>
    <col min="2" max="2" width="58" customWidth="1"/>
    <col min="3" max="3" width="28.85546875" bestFit="1" customWidth="1"/>
    <col min="5" max="5" width="11.7109375" customWidth="1"/>
  </cols>
  <sheetData>
    <row r="1" spans="2:6" x14ac:dyDescent="0.25">
      <c r="B1" s="7" t="s">
        <v>17</v>
      </c>
    </row>
    <row r="2" spans="2:6" x14ac:dyDescent="0.25">
      <c r="B2" s="20" t="s">
        <v>25</v>
      </c>
    </row>
    <row r="3" spans="2:6" x14ac:dyDescent="0.25">
      <c r="B3" t="s">
        <v>38</v>
      </c>
    </row>
    <row r="4" spans="2:6" x14ac:dyDescent="0.25">
      <c r="B4" t="s">
        <v>39</v>
      </c>
    </row>
    <row r="5" spans="2:6" ht="30" x14ac:dyDescent="0.25">
      <c r="B5" s="24" t="s">
        <v>43</v>
      </c>
      <c r="C5" s="9">
        <v>1</v>
      </c>
    </row>
    <row r="6" spans="2:6" x14ac:dyDescent="0.25">
      <c r="B6" s="3" t="s">
        <v>18</v>
      </c>
      <c r="C6" s="9">
        <v>20</v>
      </c>
    </row>
    <row r="7" spans="2:6" x14ac:dyDescent="0.25">
      <c r="B7" s="3" t="s">
        <v>8</v>
      </c>
      <c r="C7" s="9">
        <v>3</v>
      </c>
    </row>
    <row r="8" spans="2:6" x14ac:dyDescent="0.25">
      <c r="B8" s="3" t="s">
        <v>6</v>
      </c>
      <c r="C8" s="9">
        <v>48</v>
      </c>
    </row>
    <row r="9" spans="2:6" x14ac:dyDescent="0.25">
      <c r="B9" t="s">
        <v>33</v>
      </c>
      <c r="C9">
        <v>4.08</v>
      </c>
    </row>
    <row r="10" spans="2:6" ht="30" x14ac:dyDescent="0.25">
      <c r="B10" s="24" t="s">
        <v>41</v>
      </c>
      <c r="C10" s="9">
        <v>1</v>
      </c>
    </row>
    <row r="11" spans="2:6" x14ac:dyDescent="0.25">
      <c r="B11" s="21" t="s">
        <v>32</v>
      </c>
      <c r="C11">
        <f>C9*C10</f>
        <v>4.08</v>
      </c>
    </row>
    <row r="12" spans="2:6" x14ac:dyDescent="0.25">
      <c r="B12" t="s">
        <v>36</v>
      </c>
      <c r="C12">
        <v>0.46210000000000001</v>
      </c>
      <c r="E12" s="1" t="s">
        <v>37</v>
      </c>
      <c r="F12" t="s">
        <v>37</v>
      </c>
    </row>
    <row r="13" spans="2:6" ht="30" x14ac:dyDescent="0.25">
      <c r="B13" s="24" t="s">
        <v>42</v>
      </c>
      <c r="C13" s="9">
        <v>1</v>
      </c>
      <c r="E13" s="1"/>
    </row>
    <row r="14" spans="2:6" x14ac:dyDescent="0.25">
      <c r="B14" s="21" t="s">
        <v>35</v>
      </c>
      <c r="C14">
        <f>C12*C13</f>
        <v>0.46210000000000001</v>
      </c>
      <c r="E14" s="1"/>
    </row>
    <row r="15" spans="2:6" x14ac:dyDescent="0.25">
      <c r="B15" s="21" t="s">
        <v>30</v>
      </c>
      <c r="C15" s="23">
        <f>C14*1000/60</f>
        <v>7.7016666666666671</v>
      </c>
      <c r="E15" s="1"/>
    </row>
    <row r="16" spans="2:6" x14ac:dyDescent="0.25">
      <c r="B16" t="s">
        <v>40</v>
      </c>
      <c r="C16">
        <f>C11+C14</f>
        <v>4.5421000000000005</v>
      </c>
      <c r="E16" s="1" t="s">
        <v>37</v>
      </c>
      <c r="F16" t="s">
        <v>37</v>
      </c>
    </row>
    <row r="17" spans="1:13" x14ac:dyDescent="0.25">
      <c r="B17" s="18" t="s">
        <v>0</v>
      </c>
      <c r="C17" s="18">
        <v>40</v>
      </c>
      <c r="D17" s="18">
        <v>50</v>
      </c>
      <c r="E17" s="18">
        <v>60</v>
      </c>
      <c r="F17" s="18">
        <v>70</v>
      </c>
      <c r="G17" s="18">
        <v>80</v>
      </c>
      <c r="H17" s="18">
        <v>90</v>
      </c>
      <c r="I17" s="18">
        <v>100</v>
      </c>
      <c r="J17" s="18">
        <v>110</v>
      </c>
      <c r="K17" s="18">
        <v>120</v>
      </c>
      <c r="L17" s="18">
        <v>130</v>
      </c>
      <c r="M17" s="18">
        <v>150</v>
      </c>
    </row>
    <row r="18" spans="1:13" x14ac:dyDescent="0.25">
      <c r="B18" t="s">
        <v>3</v>
      </c>
      <c r="C18">
        <f>C17*$C$5</f>
        <v>40</v>
      </c>
      <c r="D18">
        <f t="shared" ref="D18:K18" si="0">D17*$C$5</f>
        <v>50</v>
      </c>
      <c r="E18">
        <f t="shared" si="0"/>
        <v>60</v>
      </c>
      <c r="F18">
        <f t="shared" si="0"/>
        <v>70</v>
      </c>
      <c r="G18">
        <f t="shared" si="0"/>
        <v>80</v>
      </c>
      <c r="H18">
        <f t="shared" si="0"/>
        <v>90</v>
      </c>
      <c r="I18">
        <f t="shared" si="0"/>
        <v>100</v>
      </c>
      <c r="J18">
        <f t="shared" si="0"/>
        <v>110</v>
      </c>
      <c r="K18">
        <f t="shared" si="0"/>
        <v>120</v>
      </c>
      <c r="L18">
        <f>L17*$C$5</f>
        <v>130</v>
      </c>
      <c r="M18">
        <f>M17*$C$5</f>
        <v>150</v>
      </c>
    </row>
    <row r="19" spans="1:13" x14ac:dyDescent="0.25">
      <c r="B19" t="s">
        <v>21</v>
      </c>
      <c r="C19" s="4">
        <f>25*C18</f>
        <v>1000</v>
      </c>
      <c r="D19" s="4">
        <f t="shared" ref="D19:M19" si="1">25*D18</f>
        <v>1250</v>
      </c>
      <c r="E19" s="4">
        <f t="shared" si="1"/>
        <v>1500</v>
      </c>
      <c r="F19" s="4">
        <f t="shared" si="1"/>
        <v>1750</v>
      </c>
      <c r="G19" s="4">
        <f t="shared" si="1"/>
        <v>2000</v>
      </c>
      <c r="H19" s="4">
        <f t="shared" si="1"/>
        <v>2250</v>
      </c>
      <c r="I19" s="4">
        <f t="shared" si="1"/>
        <v>2500</v>
      </c>
      <c r="J19" s="4">
        <f t="shared" si="1"/>
        <v>2750</v>
      </c>
      <c r="K19" s="4">
        <f t="shared" si="1"/>
        <v>3000</v>
      </c>
      <c r="L19" s="4">
        <f t="shared" si="1"/>
        <v>3250</v>
      </c>
      <c r="M19" s="4">
        <f t="shared" si="1"/>
        <v>3750</v>
      </c>
    </row>
    <row r="20" spans="1:13" x14ac:dyDescent="0.25">
      <c r="B20" t="s">
        <v>20</v>
      </c>
      <c r="C20" s="4">
        <f>C19/C18</f>
        <v>25</v>
      </c>
      <c r="D20" s="4">
        <f t="shared" ref="D20:M20" si="2">D19/D18</f>
        <v>25</v>
      </c>
      <c r="E20" s="4">
        <f t="shared" si="2"/>
        <v>25</v>
      </c>
      <c r="F20" s="4">
        <f t="shared" si="2"/>
        <v>25</v>
      </c>
      <c r="G20" s="4">
        <f t="shared" si="2"/>
        <v>25</v>
      </c>
      <c r="H20" s="4">
        <f t="shared" si="2"/>
        <v>25</v>
      </c>
      <c r="I20" s="4">
        <f t="shared" si="2"/>
        <v>25</v>
      </c>
      <c r="J20" s="4">
        <f t="shared" si="2"/>
        <v>25</v>
      </c>
      <c r="K20" s="4">
        <f t="shared" si="2"/>
        <v>25</v>
      </c>
      <c r="L20" s="4">
        <f t="shared" si="2"/>
        <v>25</v>
      </c>
      <c r="M20" s="4">
        <f t="shared" si="2"/>
        <v>25</v>
      </c>
    </row>
    <row r="21" spans="1:13" x14ac:dyDescent="0.25">
      <c r="B21" t="s">
        <v>4</v>
      </c>
      <c r="C21" s="6">
        <f t="shared" ref="C21:M21" si="3">$C$16/C18</f>
        <v>0.11355250000000001</v>
      </c>
      <c r="D21" s="6">
        <f t="shared" si="3"/>
        <v>9.0842000000000006E-2</v>
      </c>
      <c r="E21" s="6">
        <f t="shared" si="3"/>
        <v>7.5701666666666681E-2</v>
      </c>
      <c r="F21" s="6">
        <f t="shared" si="3"/>
        <v>6.4887142857142865E-2</v>
      </c>
      <c r="G21" s="6">
        <f t="shared" si="3"/>
        <v>5.6776250000000007E-2</v>
      </c>
      <c r="H21" s="6">
        <f t="shared" si="3"/>
        <v>5.0467777777777785E-2</v>
      </c>
      <c r="I21" s="6">
        <f t="shared" si="3"/>
        <v>4.5421000000000003E-2</v>
      </c>
      <c r="J21" s="6">
        <f t="shared" si="3"/>
        <v>4.1291818181818186E-2</v>
      </c>
      <c r="K21" s="6">
        <f t="shared" si="3"/>
        <v>3.785083333333334E-2</v>
      </c>
      <c r="L21" s="6">
        <f t="shared" si="3"/>
        <v>3.4939230769230771E-2</v>
      </c>
      <c r="M21" s="6">
        <f t="shared" si="3"/>
        <v>3.0280666666666671E-2</v>
      </c>
    </row>
    <row r="22" spans="1:13" x14ac:dyDescent="0.25">
      <c r="B22" t="s">
        <v>5</v>
      </c>
      <c r="C22" s="6">
        <f t="shared" ref="C22:M22" si="4">$C$14/C18</f>
        <v>1.15525E-2</v>
      </c>
      <c r="D22" s="6">
        <f t="shared" si="4"/>
        <v>9.2420000000000002E-3</v>
      </c>
      <c r="E22" s="6">
        <f t="shared" si="4"/>
        <v>7.7016666666666666E-3</v>
      </c>
      <c r="F22" s="6">
        <f t="shared" si="4"/>
        <v>6.6014285714285715E-3</v>
      </c>
      <c r="G22" s="6">
        <f t="shared" si="4"/>
        <v>5.7762500000000001E-3</v>
      </c>
      <c r="H22" s="6">
        <f t="shared" si="4"/>
        <v>5.1344444444444449E-3</v>
      </c>
      <c r="I22" s="6">
        <f t="shared" si="4"/>
        <v>4.6210000000000001E-3</v>
      </c>
      <c r="J22" s="6">
        <f t="shared" si="4"/>
        <v>4.2009090909090911E-3</v>
      </c>
      <c r="K22" s="6">
        <f t="shared" si="4"/>
        <v>3.8508333333333333E-3</v>
      </c>
      <c r="L22" s="6">
        <f t="shared" si="4"/>
        <v>3.5546153846153848E-3</v>
      </c>
      <c r="M22" s="6">
        <f t="shared" si="4"/>
        <v>3.0806666666666669E-3</v>
      </c>
    </row>
    <row r="23" spans="1:13" x14ac:dyDescent="0.25">
      <c r="B23" s="12" t="s">
        <v>9</v>
      </c>
      <c r="C23" s="13">
        <f>1-EXP(-C21*$C$7)</f>
        <v>0.28869751240694075</v>
      </c>
      <c r="D23" s="13">
        <f>1-EXP(-D21*$C$7)</f>
        <v>0.23854636887657754</v>
      </c>
      <c r="E23" s="13">
        <f t="shared" ref="E23:M23" si="5">1-EXP(-E21*$C$7)</f>
        <v>0.20316288999912879</v>
      </c>
      <c r="F23" s="13">
        <f t="shared" si="5"/>
        <v>0.17688670647198235</v>
      </c>
      <c r="G23" s="13">
        <f t="shared" si="5"/>
        <v>0.15661249262687127</v>
      </c>
      <c r="H23" s="13">
        <f t="shared" si="5"/>
        <v>0.14049903664959928</v>
      </c>
      <c r="I23" s="13">
        <f t="shared" si="5"/>
        <v>0.12738689493944544</v>
      </c>
      <c r="J23" s="13">
        <f t="shared" si="5"/>
        <v>0.1165101313218414</v>
      </c>
      <c r="K23" s="13">
        <f t="shared" si="5"/>
        <v>0.10734266932889014</v>
      </c>
      <c r="L23" s="13">
        <f t="shared" si="5"/>
        <v>9.9511326365148922E-2</v>
      </c>
      <c r="M23" s="13">
        <f t="shared" si="5"/>
        <v>8.6838020905524838E-2</v>
      </c>
    </row>
    <row r="24" spans="1:13" s="21" customFormat="1" x14ac:dyDescent="0.25">
      <c r="B24" s="21" t="s">
        <v>26</v>
      </c>
      <c r="C24" s="22">
        <f>C25/C18</f>
        <v>20</v>
      </c>
      <c r="D24" s="22">
        <f t="shared" ref="D24:M24" si="6">D25/D18</f>
        <v>20</v>
      </c>
      <c r="E24" s="22">
        <f t="shared" si="6"/>
        <v>20</v>
      </c>
      <c r="F24" s="22">
        <f t="shared" si="6"/>
        <v>20</v>
      </c>
      <c r="G24" s="22">
        <f t="shared" si="6"/>
        <v>20</v>
      </c>
      <c r="H24" s="22">
        <f t="shared" si="6"/>
        <v>20</v>
      </c>
      <c r="I24" s="22">
        <f t="shared" si="6"/>
        <v>20</v>
      </c>
      <c r="J24" s="22">
        <f t="shared" si="6"/>
        <v>20</v>
      </c>
      <c r="K24" s="22">
        <f t="shared" si="6"/>
        <v>20</v>
      </c>
      <c r="L24" s="22">
        <f t="shared" si="6"/>
        <v>20</v>
      </c>
      <c r="M24" s="22">
        <f t="shared" si="6"/>
        <v>20</v>
      </c>
    </row>
    <row r="25" spans="1:13" ht="30" x14ac:dyDescent="0.25">
      <c r="B25" s="2" t="s">
        <v>14</v>
      </c>
      <c r="C25">
        <f>C18*$C$6</f>
        <v>800</v>
      </c>
      <c r="D25">
        <f t="shared" ref="D25:M25" si="7">D18*$C$6</f>
        <v>1000</v>
      </c>
      <c r="E25">
        <f t="shared" si="7"/>
        <v>1200</v>
      </c>
      <c r="F25">
        <f t="shared" si="7"/>
        <v>1400</v>
      </c>
      <c r="G25">
        <f t="shared" si="7"/>
        <v>1600</v>
      </c>
      <c r="H25">
        <f t="shared" si="7"/>
        <v>1800</v>
      </c>
      <c r="I25">
        <f t="shared" si="7"/>
        <v>2000</v>
      </c>
      <c r="J25">
        <f t="shared" si="7"/>
        <v>2200</v>
      </c>
      <c r="K25">
        <f t="shared" si="7"/>
        <v>2400</v>
      </c>
      <c r="L25">
        <f t="shared" si="7"/>
        <v>2600</v>
      </c>
      <c r="M25">
        <f t="shared" si="7"/>
        <v>3000</v>
      </c>
    </row>
    <row r="26" spans="1:13" x14ac:dyDescent="0.25">
      <c r="B26" s="12" t="s">
        <v>13</v>
      </c>
      <c r="C26" s="16">
        <f>C23*C25</f>
        <v>230.9580099255526</v>
      </c>
      <c r="D26" s="16">
        <f t="shared" ref="D26:M26" si="8">D23*D25</f>
        <v>238.54636887657753</v>
      </c>
      <c r="E26" s="16">
        <f t="shared" si="8"/>
        <v>243.79546799895456</v>
      </c>
      <c r="F26" s="16">
        <f t="shared" si="8"/>
        <v>247.64138906077528</v>
      </c>
      <c r="G26" s="16">
        <f t="shared" si="8"/>
        <v>250.57998820299403</v>
      </c>
      <c r="H26" s="16">
        <f t="shared" si="8"/>
        <v>252.89826596927873</v>
      </c>
      <c r="I26" s="16">
        <f t="shared" si="8"/>
        <v>254.77378987889088</v>
      </c>
      <c r="J26" s="16">
        <f t="shared" si="8"/>
        <v>256.32228890805106</v>
      </c>
      <c r="K26" s="16">
        <f t="shared" si="8"/>
        <v>257.62240638933633</v>
      </c>
      <c r="L26" s="16">
        <f t="shared" si="8"/>
        <v>258.7294485493872</v>
      </c>
      <c r="M26" s="16">
        <f t="shared" si="8"/>
        <v>260.51406271657453</v>
      </c>
    </row>
    <row r="27" spans="1:13" hidden="1" x14ac:dyDescent="0.25">
      <c r="A27" t="s">
        <v>2</v>
      </c>
      <c r="B27" t="s">
        <v>10</v>
      </c>
      <c r="C27">
        <f>C25*EXP(-C21*C7)</f>
        <v>569.04199007444743</v>
      </c>
    </row>
    <row r="28" spans="1:13" x14ac:dyDescent="0.25">
      <c r="B28" t="s">
        <v>12</v>
      </c>
      <c r="C28" s="5">
        <f>C25-C26</f>
        <v>569.04199007444743</v>
      </c>
      <c r="D28" s="5">
        <f t="shared" ref="D28:M28" si="9">D25-D26</f>
        <v>761.4536311234225</v>
      </c>
      <c r="E28" s="5">
        <f t="shared" si="9"/>
        <v>956.20453200104544</v>
      </c>
      <c r="F28" s="5">
        <f t="shared" si="9"/>
        <v>1152.3586109392247</v>
      </c>
      <c r="G28" s="5">
        <f t="shared" si="9"/>
        <v>1349.4200117970061</v>
      </c>
      <c r="H28" s="5">
        <f t="shared" si="9"/>
        <v>1547.1017340307212</v>
      </c>
      <c r="I28" s="5">
        <f t="shared" si="9"/>
        <v>1745.226210121109</v>
      </c>
      <c r="J28" s="5">
        <f t="shared" si="9"/>
        <v>1943.6777110919488</v>
      </c>
      <c r="K28" s="5">
        <f t="shared" si="9"/>
        <v>2142.3775936106636</v>
      </c>
      <c r="L28" s="5">
        <f t="shared" si="9"/>
        <v>2341.2705514506129</v>
      </c>
      <c r="M28" s="5">
        <f t="shared" si="9"/>
        <v>2739.4859372834253</v>
      </c>
    </row>
    <row r="29" spans="1:13" x14ac:dyDescent="0.25">
      <c r="B29" t="s">
        <v>11</v>
      </c>
      <c r="C29" s="1">
        <f>C28/C18</f>
        <v>14.226049751861186</v>
      </c>
      <c r="D29" s="1">
        <f t="shared" ref="D29:M29" si="10">D28/D18</f>
        <v>15.229072622468451</v>
      </c>
      <c r="E29" s="1">
        <f t="shared" si="10"/>
        <v>15.936742200017424</v>
      </c>
      <c r="F29" s="1">
        <f t="shared" si="10"/>
        <v>16.462265870560355</v>
      </c>
      <c r="G29" s="1">
        <f t="shared" si="10"/>
        <v>16.867750147462576</v>
      </c>
      <c r="H29" s="1">
        <f t="shared" si="10"/>
        <v>17.190019267008015</v>
      </c>
      <c r="I29" s="1">
        <f t="shared" si="10"/>
        <v>17.45226210121109</v>
      </c>
      <c r="J29" s="1">
        <f t="shared" si="10"/>
        <v>17.669797373563171</v>
      </c>
      <c r="K29" s="1">
        <f t="shared" si="10"/>
        <v>17.853146613422197</v>
      </c>
      <c r="L29" s="1">
        <f t="shared" si="10"/>
        <v>18.00977347269702</v>
      </c>
      <c r="M29" s="1">
        <f t="shared" si="10"/>
        <v>18.263239581889501</v>
      </c>
    </row>
    <row r="30" spans="1:13" ht="45" x14ac:dyDescent="0.25">
      <c r="B30" s="8" t="s">
        <v>27</v>
      </c>
      <c r="C30" s="1">
        <f>$C$6/(EXP(-C22*($C$8-$C$7)))</f>
        <v>33.635927735934835</v>
      </c>
      <c r="D30" s="1">
        <f t="shared" ref="D30:M30" si="11">$C$6/(EXP(-D22*($C$8-$C$7)))</f>
        <v>30.314382611915327</v>
      </c>
      <c r="E30" s="1">
        <f t="shared" si="11"/>
        <v>28.284311120393642</v>
      </c>
      <c r="F30" s="1">
        <f t="shared" si="11"/>
        <v>26.918036378537455</v>
      </c>
      <c r="G30" s="1">
        <f t="shared" si="11"/>
        <v>25.936818515745077</v>
      </c>
      <c r="H30" s="1">
        <f t="shared" si="11"/>
        <v>25.198444679721085</v>
      </c>
      <c r="I30" s="1">
        <f t="shared" si="11"/>
        <v>24.622909093734368</v>
      </c>
      <c r="J30" s="1">
        <f t="shared" si="11"/>
        <v>24.161807467018466</v>
      </c>
      <c r="K30" s="1">
        <f t="shared" si="11"/>
        <v>23.784159064551197</v>
      </c>
      <c r="L30" s="1">
        <f t="shared" si="11"/>
        <v>23.469224470104066</v>
      </c>
      <c r="M30" s="1">
        <f t="shared" si="11"/>
        <v>22.973980054688962</v>
      </c>
    </row>
    <row r="31" spans="1:13" x14ac:dyDescent="0.25">
      <c r="B31" t="s">
        <v>22</v>
      </c>
      <c r="C31">
        <f>C30*EXP(-C22*($C$8-$C$7))</f>
        <v>20.000000000000004</v>
      </c>
      <c r="D31">
        <f t="shared" ref="D31:M31" si="12">D30*EXP(-D22*($C$8-$C$7))</f>
        <v>20</v>
      </c>
      <c r="E31">
        <f t="shared" si="12"/>
        <v>20</v>
      </c>
      <c r="F31">
        <f t="shared" si="12"/>
        <v>20</v>
      </c>
      <c r="G31">
        <f t="shared" si="12"/>
        <v>20</v>
      </c>
      <c r="H31">
        <f t="shared" si="12"/>
        <v>20</v>
      </c>
      <c r="I31">
        <f t="shared" si="12"/>
        <v>20</v>
      </c>
      <c r="J31">
        <f t="shared" si="12"/>
        <v>20</v>
      </c>
      <c r="K31">
        <f t="shared" si="12"/>
        <v>20</v>
      </c>
      <c r="L31">
        <f t="shared" si="12"/>
        <v>20</v>
      </c>
      <c r="M31">
        <f t="shared" si="12"/>
        <v>20</v>
      </c>
    </row>
    <row r="32" spans="1:13" x14ac:dyDescent="0.25">
      <c r="B32" s="18" t="s">
        <v>19</v>
      </c>
      <c r="C32" s="19">
        <f>(C30-C29)*C18</f>
        <v>776.39511936294593</v>
      </c>
      <c r="D32" s="19">
        <f t="shared" ref="D32:M32" si="13">(D30-D29)*D18</f>
        <v>754.26549947234389</v>
      </c>
      <c r="E32" s="19">
        <f t="shared" si="13"/>
        <v>740.85413522257318</v>
      </c>
      <c r="F32" s="19">
        <f t="shared" si="13"/>
        <v>731.90393555839694</v>
      </c>
      <c r="G32" s="19">
        <f t="shared" si="13"/>
        <v>725.52546946260009</v>
      </c>
      <c r="H32" s="19">
        <f t="shared" si="13"/>
        <v>720.75828714417628</v>
      </c>
      <c r="I32" s="19">
        <f t="shared" si="13"/>
        <v>717.06469925232773</v>
      </c>
      <c r="J32" s="19">
        <f t="shared" si="13"/>
        <v>714.12111028008246</v>
      </c>
      <c r="K32" s="19">
        <f t="shared" si="13"/>
        <v>711.72149413548004</v>
      </c>
      <c r="L32" s="19">
        <f t="shared" si="13"/>
        <v>709.72862966291598</v>
      </c>
      <c r="M32" s="19">
        <f t="shared" si="13"/>
        <v>706.61107091991914</v>
      </c>
    </row>
    <row r="33" spans="1:13" x14ac:dyDescent="0.25">
      <c r="B33" s="10" t="s">
        <v>15</v>
      </c>
      <c r="C33" s="11">
        <f>C30*C17</f>
        <v>1345.4371094373935</v>
      </c>
      <c r="D33" s="11">
        <f t="shared" ref="D33:L33" si="14">D30*D17</f>
        <v>1515.7191305957663</v>
      </c>
      <c r="E33" s="11">
        <f t="shared" si="14"/>
        <v>1697.0586672236186</v>
      </c>
      <c r="F33" s="11">
        <f t="shared" si="14"/>
        <v>1884.2625464976218</v>
      </c>
      <c r="G33" s="11">
        <f t="shared" si="14"/>
        <v>2074.9454812596064</v>
      </c>
      <c r="H33" s="11">
        <f t="shared" si="14"/>
        <v>2267.8600211748976</v>
      </c>
      <c r="I33" s="11">
        <f t="shared" si="14"/>
        <v>2462.290909373437</v>
      </c>
      <c r="J33" s="11">
        <f t="shared" si="14"/>
        <v>2657.7988213720314</v>
      </c>
      <c r="K33" s="11">
        <f t="shared" si="14"/>
        <v>2854.0990877461436</v>
      </c>
      <c r="L33" s="11">
        <f t="shared" si="14"/>
        <v>3050.9991811135287</v>
      </c>
      <c r="M33" s="11">
        <f>M30*M17</f>
        <v>3446.0970082033441</v>
      </c>
    </row>
    <row r="34" spans="1:13" x14ac:dyDescent="0.25">
      <c r="A34" t="s">
        <v>7</v>
      </c>
      <c r="B34" s="14" t="s">
        <v>28</v>
      </c>
      <c r="C34" s="15">
        <f>(1-EXP(-C22*($C$8-$C$7)))</f>
        <v>0.4053976998341251</v>
      </c>
      <c r="D34" s="15">
        <f t="shared" ref="D34:M34" si="15">(1-EXP(-D22*($C$8-$C$7)))</f>
        <v>0.34024716069464567</v>
      </c>
      <c r="E34" s="15">
        <f t="shared" si="15"/>
        <v>0.29289421563534079</v>
      </c>
      <c r="F34" s="15">
        <f t="shared" si="15"/>
        <v>0.25700375321780189</v>
      </c>
      <c r="G34" s="15">
        <f t="shared" si="15"/>
        <v>0.22889540257765617</v>
      </c>
      <c r="H34" s="15">
        <f t="shared" si="15"/>
        <v>0.2063002199459012</v>
      </c>
      <c r="I34" s="15">
        <f t="shared" si="15"/>
        <v>0.18774829067255616</v>
      </c>
      <c r="J34" s="15">
        <f t="shared" si="15"/>
        <v>0.17224735660605894</v>
      </c>
      <c r="K34" s="15">
        <f t="shared" si="15"/>
        <v>0.15910417746033534</v>
      </c>
      <c r="L34" s="15">
        <f t="shared" si="15"/>
        <v>0.14782015803390891</v>
      </c>
      <c r="M34" s="15">
        <f t="shared" si="15"/>
        <v>0.12944992759676299</v>
      </c>
    </row>
    <row r="35" spans="1:13" x14ac:dyDescent="0.25">
      <c r="B35" s="14" t="s">
        <v>24</v>
      </c>
      <c r="C35" s="17">
        <f>C33*C34</f>
        <v>545.43710943739336</v>
      </c>
      <c r="D35" s="17">
        <f t="shared" ref="D35:M35" si="16">D33*D34</f>
        <v>515.71913059576627</v>
      </c>
      <c r="E35" s="17">
        <f t="shared" si="16"/>
        <v>497.05866722361861</v>
      </c>
      <c r="F35" s="17">
        <f t="shared" si="16"/>
        <v>484.26254649762177</v>
      </c>
      <c r="G35" s="17">
        <f t="shared" si="16"/>
        <v>474.94548125960614</v>
      </c>
      <c r="H35" s="17">
        <f t="shared" si="16"/>
        <v>467.8600211748975</v>
      </c>
      <c r="I35" s="17">
        <f t="shared" si="16"/>
        <v>462.2909093734367</v>
      </c>
      <c r="J35" s="17">
        <f t="shared" si="16"/>
        <v>457.79882137203145</v>
      </c>
      <c r="K35" s="17">
        <f t="shared" si="16"/>
        <v>454.09908774614365</v>
      </c>
      <c r="L35" s="17">
        <f t="shared" si="16"/>
        <v>450.99918111352849</v>
      </c>
      <c r="M35" s="17">
        <f t="shared" si="16"/>
        <v>446.09700820334444</v>
      </c>
    </row>
    <row r="36" spans="1:13" hidden="1" x14ac:dyDescent="0.25">
      <c r="B36" s="7" t="s">
        <v>16</v>
      </c>
      <c r="C36" s="11">
        <f>C35+C26</f>
        <v>776.39511936294593</v>
      </c>
      <c r="D36" s="11">
        <f t="shared" ref="D36:M36" si="17">D35+D26</f>
        <v>754.26549947234378</v>
      </c>
      <c r="E36" s="11">
        <f t="shared" si="17"/>
        <v>740.85413522257318</v>
      </c>
      <c r="F36" s="11">
        <f t="shared" si="17"/>
        <v>731.90393555839705</v>
      </c>
      <c r="G36" s="11">
        <f t="shared" si="17"/>
        <v>725.5254694626002</v>
      </c>
      <c r="H36" s="11">
        <f t="shared" si="17"/>
        <v>720.75828714417617</v>
      </c>
      <c r="I36" s="11">
        <f t="shared" si="17"/>
        <v>717.06469925232761</v>
      </c>
      <c r="J36" s="11">
        <f t="shared" si="17"/>
        <v>714.12111028008258</v>
      </c>
      <c r="K36" s="11">
        <f t="shared" si="17"/>
        <v>711.72149413548004</v>
      </c>
      <c r="L36" s="11">
        <f t="shared" si="17"/>
        <v>709.72862966291564</v>
      </c>
      <c r="M36" s="11">
        <f t="shared" si="17"/>
        <v>706.61107091991903</v>
      </c>
    </row>
    <row r="37" spans="1:13" x14ac:dyDescent="0.25">
      <c r="B37" s="7" t="s">
        <v>23</v>
      </c>
      <c r="C37" s="4">
        <f>((C31+C30)*2/2+(C31-C29)/C21+(C30-C31)/C22)*24/$C$8</f>
        <v>642.41426707507298</v>
      </c>
      <c r="D37" s="4">
        <f t="shared" ref="D37:M37" si="18">((D31+D30)*2/2+(D31-D29)/D21+(D30-D31)/D22)*24/$C$8</f>
        <v>609.43347574544225</v>
      </c>
      <c r="E37" s="4">
        <f t="shared" si="18"/>
        <v>588.80533099244883</v>
      </c>
      <c r="F37" s="4">
        <f t="shared" si="18"/>
        <v>574.69993876359638</v>
      </c>
      <c r="G37" s="4">
        <f t="shared" si="18"/>
        <v>564.45159261491278</v>
      </c>
      <c r="H37" s="4">
        <f t="shared" si="18"/>
        <v>556.67101717755543</v>
      </c>
      <c r="I37" s="4">
        <f t="shared" si="18"/>
        <v>550.56383640929857</v>
      </c>
      <c r="J37" s="4">
        <f t="shared" si="18"/>
        <v>545.64323124758448</v>
      </c>
      <c r="K37" s="4">
        <f t="shared" si="18"/>
        <v>541.59435135804961</v>
      </c>
      <c r="L37" s="4">
        <f t="shared" si="18"/>
        <v>538.20459733323719</v>
      </c>
      <c r="M37" s="4">
        <f t="shared" si="18"/>
        <v>532.84919383102772</v>
      </c>
    </row>
    <row r="38" spans="1:13" x14ac:dyDescent="0.25">
      <c r="B38" s="7"/>
      <c r="C38" s="23" t="s">
        <v>44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x14ac:dyDescent="0.25">
      <c r="C39" t="s">
        <v>45</v>
      </c>
    </row>
    <row r="41" spans="1:13" x14ac:dyDescent="0.25">
      <c r="C41" t="s">
        <v>46</v>
      </c>
    </row>
    <row r="42" spans="1:13" x14ac:dyDescent="0.25">
      <c r="C42" t="s">
        <v>47</v>
      </c>
    </row>
    <row r="43" spans="1:13" x14ac:dyDescent="0.25">
      <c r="C43" t="s">
        <v>48</v>
      </c>
    </row>
    <row r="45" spans="1:13" x14ac:dyDescent="0.25">
      <c r="C45" t="s">
        <v>49</v>
      </c>
    </row>
    <row r="46" spans="1:13" x14ac:dyDescent="0.25">
      <c r="C46" t="s">
        <v>29</v>
      </c>
    </row>
    <row r="48" spans="1:13" x14ac:dyDescent="0.25">
      <c r="C48" t="s">
        <v>50</v>
      </c>
    </row>
    <row r="49" spans="3:3" x14ac:dyDescent="0.25">
      <c r="C49" t="s">
        <v>51</v>
      </c>
    </row>
    <row r="51" spans="3:3" x14ac:dyDescent="0.25">
      <c r="C51" t="s">
        <v>52</v>
      </c>
    </row>
    <row r="53" spans="3:3" x14ac:dyDescent="0.25">
      <c r="C53" s="7" t="s">
        <v>53</v>
      </c>
    </row>
    <row r="54" spans="3:3" x14ac:dyDescent="0.25">
      <c r="C54" s="7" t="s">
        <v>54</v>
      </c>
    </row>
    <row r="55" spans="3:3" x14ac:dyDescent="0.25">
      <c r="C55" s="7" t="s">
        <v>55</v>
      </c>
    </row>
  </sheetData>
  <sheetProtection algorithmName="SHA-512" hashValue="J/qe5+J420TICkf28BqF/lMLQkrKWMbGHq8nsz0XS9X5ej93mDRWWILwgqAbchDvptNZxr5L0Ad54j2X6C6H8Q==" saltValue="eQhkFFvcmdvJ3jPUjbj0dw==" spinCount="100000" sheet="1" objects="1" scenarios="1"/>
  <hyperlinks>
    <hyperlink ref="B2" r:id="rId1" xr:uid="{ED40C434-8C2D-4F5A-9AFC-BAE70514FC3F}"/>
  </hyperlinks>
  <pageMargins left="0.7" right="0.7" top="0.75" bottom="0.75" header="0" footer="0"/>
  <pageSetup scale="45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85017C-40A2-4153-8049-B532524A7C08}">
          <x14:formula1>
            <xm:f>Sheet2!$B$2:$B$4</xm:f>
          </x14:formula1>
          <xm:sqref>C5</xm:sqref>
        </x14:dataValidation>
        <x14:dataValidation type="list" allowBlank="1" showInputMessage="1" showErrorMessage="1" xr:uid="{D7144956-BCBC-42E9-B91D-97B1568A0A5C}">
          <x14:formula1>
            <xm:f>Sheet2!$C$2:$C$9</xm:f>
          </x14:formula1>
          <xm:sqref>C10</xm:sqref>
        </x14:dataValidation>
        <x14:dataValidation type="list" allowBlank="1" showInputMessage="1" showErrorMessage="1" xr:uid="{488AB210-87DE-4924-9C5F-E7C41ED21CE1}">
          <x14:formula1>
            <xm:f>Sheet2!$D$2:$D$9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CCD2-D8B9-477F-9B2A-9473F3172439}">
  <dimension ref="B1:D9"/>
  <sheetViews>
    <sheetView workbookViewId="0">
      <selection activeCell="B5" sqref="B5"/>
    </sheetView>
  </sheetViews>
  <sheetFormatPr defaultRowHeight="15" x14ac:dyDescent="0.25"/>
  <cols>
    <col min="3" max="3" width="23.42578125" bestFit="1" customWidth="1"/>
    <col min="4" max="4" width="24.28515625" bestFit="1" customWidth="1"/>
  </cols>
  <sheetData>
    <row r="1" spans="2:4" x14ac:dyDescent="0.25">
      <c r="B1" t="s">
        <v>1</v>
      </c>
      <c r="C1" t="s">
        <v>31</v>
      </c>
      <c r="D1" t="s">
        <v>34</v>
      </c>
    </row>
    <row r="2" spans="2:4" x14ac:dyDescent="0.25">
      <c r="B2">
        <v>0.65</v>
      </c>
      <c r="C2">
        <v>0.25</v>
      </c>
      <c r="D2">
        <v>0.25</v>
      </c>
    </row>
    <row r="3" spans="2:4" x14ac:dyDescent="0.25">
      <c r="B3">
        <v>1</v>
      </c>
      <c r="C3">
        <v>0.5</v>
      </c>
      <c r="D3">
        <v>0.5</v>
      </c>
    </row>
    <row r="4" spans="2:4" x14ac:dyDescent="0.25">
      <c r="B4">
        <v>1.3</v>
      </c>
      <c r="C4">
        <v>0.75</v>
      </c>
      <c r="D4">
        <v>0.75</v>
      </c>
    </row>
    <row r="5" spans="2:4" x14ac:dyDescent="0.25">
      <c r="C5">
        <v>1</v>
      </c>
      <c r="D5">
        <v>1</v>
      </c>
    </row>
    <row r="6" spans="2:4" x14ac:dyDescent="0.25">
      <c r="C6">
        <v>1.25</v>
      </c>
      <c r="D6">
        <v>1.25</v>
      </c>
    </row>
    <row r="7" spans="2:4" x14ac:dyDescent="0.25">
      <c r="C7">
        <v>1.5</v>
      </c>
      <c r="D7">
        <v>1.5</v>
      </c>
    </row>
    <row r="8" spans="2:4" x14ac:dyDescent="0.25">
      <c r="C8">
        <v>1.75</v>
      </c>
      <c r="D8">
        <v>1.75</v>
      </c>
    </row>
    <row r="9" spans="2:4" x14ac:dyDescent="0.25">
      <c r="C9">
        <v>2</v>
      </c>
      <c r="D9">
        <v>2</v>
      </c>
    </row>
  </sheetData>
  <sheetProtection algorithmName="SHA-512" hashValue="PrvK6/Pfpt1+GCGHlZaGHN0YgdXQRF6GokvJc1WLXL73KGFgCPEQ4Vbj/KxL6U95/aiFscT7IA4QVMghnDlpIA==" saltValue="ecT2ZKthsEjY8GhuHV4j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2021-09-21T22:45:57Z</cp:lastPrinted>
  <dcterms:created xsi:type="dcterms:W3CDTF">2021-06-10T11:36:38Z</dcterms:created>
  <dcterms:modified xsi:type="dcterms:W3CDTF">2022-05-14T17:05:32Z</dcterms:modified>
</cp:coreProperties>
</file>