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shall\Documents\lithium\"/>
    </mc:Choice>
  </mc:AlternateContent>
  <xr:revisionPtr revIDLastSave="0" documentId="8_{720D8A8B-ADB7-4F52-B3C2-2F6FC1EC36B5}" xr6:coauthVersionLast="47" xr6:coauthVersionMax="47" xr10:uidLastSave="{00000000-0000-0000-0000-000000000000}"/>
  <workbookProtection workbookAlgorithmName="SHA-512" workbookHashValue="+N/QLD9DW64jNZqU4b6xfHuODGloEthIqn51f1B1h9q5DDd5Tert9l4ZgJmZEYRyuF7wauopQTJ3xta0SmFmrA==" workbookSaltValue="jVZ9znJwx1wsugvKsh8nRg==" workbookSpinCount="100000" lockStructure="1"/>
  <bookViews>
    <workbookView xWindow="-120" yWindow="-120" windowWidth="25440" windowHeight="15390" activeTab="1" xr2:uid="{61398111-330E-45D2-88F7-1B1C5E33EBB5}"/>
  </bookViews>
  <sheets>
    <sheet name="Lithium Dosing Steady State " sheetId="1" r:id="rId1"/>
    <sheet name="SSNonSSDosing" sheetId="6" r:id="rId2"/>
    <sheet name="Test Dose Single Point Method" sheetId="4" r:id="rId3"/>
    <sheet name="Comparison of Methods" sheetId="3" state="hidden" r:id="rId4"/>
    <sheet name="Multiple Level Post Test Dose" sheetId="5" r:id="rId5"/>
    <sheet name="ParameterSelection" sheetId="2" state="hidden" r:id="rId6"/>
  </sheets>
  <definedNames>
    <definedName name="solver_adj" localSheetId="3" hidden="1">'Comparison of Methods'!$AB$23:$AC$23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lhs1" localSheetId="3" hidden="1">'Comparison of Methods'!$AB$23</definedName>
    <definedName name="solver_lhs2" localSheetId="3" hidden="1">'Comparison of Methods'!$AB$23</definedName>
    <definedName name="solver_lhs3" localSheetId="3" hidden="1">'Comparison of Methods'!$AC$23</definedName>
    <definedName name="solver_lhs4" localSheetId="3" hidden="1">'Comparison of Methods'!$AC$23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4</definedName>
    <definedName name="solver_nwt" localSheetId="3" hidden="1">1</definedName>
    <definedName name="solver_opt" localSheetId="3" hidden="1">'Comparison of Methods'!$AA$37</definedName>
    <definedName name="solver_pre" localSheetId="3" hidden="1">0.000001</definedName>
    <definedName name="solver_rbv" localSheetId="3" hidden="1">1</definedName>
    <definedName name="solver_rel1" localSheetId="3" hidden="1">3</definedName>
    <definedName name="solver_rel2" localSheetId="3" hidden="1">1</definedName>
    <definedName name="solver_rel3" localSheetId="3" hidden="1">1</definedName>
    <definedName name="solver_rel4" localSheetId="3" hidden="1">3</definedName>
    <definedName name="solver_rhs1" localSheetId="3" hidden="1">0.5</definedName>
    <definedName name="solver_rhs2" localSheetId="3" hidden="1">0.9</definedName>
    <definedName name="solver_rhs3" localSheetId="3" hidden="1">0.4</definedName>
    <definedName name="solver_rhs4" localSheetId="3" hidden="1">0.15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7" i="6" l="1"/>
  <c r="C60" i="6"/>
  <c r="C67" i="6"/>
  <c r="C2" i="2"/>
  <c r="C29" i="6"/>
  <c r="C34" i="6" s="1"/>
  <c r="C22" i="6"/>
  <c r="C10" i="6"/>
  <c r="C11" i="6" s="1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Q139" i="5"/>
  <c r="P139" i="5"/>
  <c r="O139" i="5"/>
  <c r="N139" i="5"/>
  <c r="M139" i="5"/>
  <c r="L139" i="5"/>
  <c r="K139" i="5"/>
  <c r="J139" i="5"/>
  <c r="I139" i="5"/>
  <c r="H139" i="5"/>
  <c r="G139" i="5"/>
  <c r="F139" i="5"/>
  <c r="E139" i="5"/>
  <c r="D139" i="5"/>
  <c r="Q138" i="5"/>
  <c r="P138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Q136" i="5"/>
  <c r="P136" i="5"/>
  <c r="O136" i="5"/>
  <c r="N136" i="5"/>
  <c r="M136" i="5"/>
  <c r="L136" i="5"/>
  <c r="K136" i="5"/>
  <c r="J136" i="5"/>
  <c r="I136" i="5"/>
  <c r="H136" i="5"/>
  <c r="G136" i="5"/>
  <c r="F136" i="5"/>
  <c r="E136" i="5"/>
  <c r="D136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D135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Q133" i="5"/>
  <c r="P133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Q126" i="5"/>
  <c r="P126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Q125" i="5"/>
  <c r="P125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Q123" i="5"/>
  <c r="P123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Q122" i="5"/>
  <c r="P122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Q120" i="5"/>
  <c r="P120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D76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D35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D32" i="5"/>
  <c r="D31" i="5"/>
  <c r="D30" i="5"/>
  <c r="D29" i="5"/>
  <c r="F28" i="5"/>
  <c r="F27" i="5"/>
  <c r="F26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D17" i="5"/>
  <c r="D16" i="5"/>
  <c r="D13" i="5"/>
  <c r="D12" i="5"/>
  <c r="D11" i="5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Z38" i="3"/>
  <c r="R38" i="3"/>
  <c r="AA37" i="3"/>
  <c r="X37" i="3"/>
  <c r="AA35" i="3"/>
  <c r="Z35" i="3"/>
  <c r="Y35" i="3"/>
  <c r="X35" i="3"/>
  <c r="T35" i="3"/>
  <c r="S35" i="3"/>
  <c r="R35" i="3"/>
  <c r="Q35" i="3"/>
  <c r="O35" i="3"/>
  <c r="N35" i="3"/>
  <c r="M35" i="3"/>
  <c r="L35" i="3"/>
  <c r="K35" i="3"/>
  <c r="J35" i="3"/>
  <c r="G35" i="3"/>
  <c r="F35" i="3"/>
  <c r="AA34" i="3"/>
  <c r="Z34" i="3"/>
  <c r="Y34" i="3"/>
  <c r="X34" i="3"/>
  <c r="T34" i="3"/>
  <c r="S34" i="3"/>
  <c r="R34" i="3"/>
  <c r="Q34" i="3"/>
  <c r="O34" i="3"/>
  <c r="N34" i="3"/>
  <c r="M34" i="3"/>
  <c r="L34" i="3"/>
  <c r="K34" i="3"/>
  <c r="J34" i="3"/>
  <c r="G34" i="3"/>
  <c r="F34" i="3"/>
  <c r="AA33" i="3"/>
  <c r="Z33" i="3"/>
  <c r="Y33" i="3"/>
  <c r="X33" i="3"/>
  <c r="T33" i="3"/>
  <c r="S33" i="3"/>
  <c r="R33" i="3"/>
  <c r="Q33" i="3"/>
  <c r="O33" i="3"/>
  <c r="N33" i="3"/>
  <c r="M33" i="3"/>
  <c r="L33" i="3"/>
  <c r="K33" i="3"/>
  <c r="J33" i="3"/>
  <c r="G33" i="3"/>
  <c r="F33" i="3"/>
  <c r="AA32" i="3"/>
  <c r="Z32" i="3"/>
  <c r="Y32" i="3"/>
  <c r="X32" i="3"/>
  <c r="T32" i="3"/>
  <c r="S32" i="3"/>
  <c r="R32" i="3"/>
  <c r="Q32" i="3"/>
  <c r="O32" i="3"/>
  <c r="N32" i="3"/>
  <c r="M32" i="3"/>
  <c r="L32" i="3"/>
  <c r="K32" i="3"/>
  <c r="J32" i="3"/>
  <c r="G32" i="3"/>
  <c r="F32" i="3"/>
  <c r="AA31" i="3"/>
  <c r="Z31" i="3"/>
  <c r="Y31" i="3"/>
  <c r="X31" i="3"/>
  <c r="T31" i="3"/>
  <c r="S31" i="3"/>
  <c r="R31" i="3"/>
  <c r="Q31" i="3"/>
  <c r="O31" i="3"/>
  <c r="N31" i="3"/>
  <c r="M31" i="3"/>
  <c r="L31" i="3"/>
  <c r="K31" i="3"/>
  <c r="J31" i="3"/>
  <c r="G31" i="3"/>
  <c r="F31" i="3"/>
  <c r="AA30" i="3"/>
  <c r="Z30" i="3"/>
  <c r="Y30" i="3"/>
  <c r="X30" i="3"/>
  <c r="T30" i="3"/>
  <c r="S30" i="3"/>
  <c r="R30" i="3"/>
  <c r="Q30" i="3"/>
  <c r="O30" i="3"/>
  <c r="N30" i="3"/>
  <c r="M30" i="3"/>
  <c r="L30" i="3"/>
  <c r="K30" i="3"/>
  <c r="J30" i="3"/>
  <c r="G30" i="3"/>
  <c r="F30" i="3"/>
  <c r="AA29" i="3"/>
  <c r="Z29" i="3"/>
  <c r="Y29" i="3"/>
  <c r="X29" i="3"/>
  <c r="T29" i="3"/>
  <c r="S29" i="3"/>
  <c r="R29" i="3"/>
  <c r="Q29" i="3"/>
  <c r="O29" i="3"/>
  <c r="N29" i="3"/>
  <c r="M29" i="3"/>
  <c r="L29" i="3"/>
  <c r="K29" i="3"/>
  <c r="J29" i="3"/>
  <c r="G29" i="3"/>
  <c r="F29" i="3"/>
  <c r="AA28" i="3"/>
  <c r="Z28" i="3"/>
  <c r="Y28" i="3"/>
  <c r="X28" i="3"/>
  <c r="T28" i="3"/>
  <c r="S28" i="3"/>
  <c r="R28" i="3"/>
  <c r="Q28" i="3"/>
  <c r="O28" i="3"/>
  <c r="N28" i="3"/>
  <c r="M28" i="3"/>
  <c r="L28" i="3"/>
  <c r="K28" i="3"/>
  <c r="J28" i="3"/>
  <c r="G28" i="3"/>
  <c r="F28" i="3"/>
  <c r="AA27" i="3"/>
  <c r="Z27" i="3"/>
  <c r="Y27" i="3"/>
  <c r="X27" i="3"/>
  <c r="T27" i="3"/>
  <c r="S27" i="3"/>
  <c r="R27" i="3"/>
  <c r="Q27" i="3"/>
  <c r="O27" i="3"/>
  <c r="N27" i="3"/>
  <c r="M27" i="3"/>
  <c r="L27" i="3"/>
  <c r="K27" i="3"/>
  <c r="J27" i="3"/>
  <c r="G27" i="3"/>
  <c r="F27" i="3"/>
  <c r="AA26" i="3"/>
  <c r="Z26" i="3"/>
  <c r="Y26" i="3"/>
  <c r="X26" i="3"/>
  <c r="T26" i="3"/>
  <c r="S26" i="3"/>
  <c r="R26" i="3"/>
  <c r="Q26" i="3"/>
  <c r="O26" i="3"/>
  <c r="N26" i="3"/>
  <c r="M26" i="3"/>
  <c r="L26" i="3"/>
  <c r="K26" i="3"/>
  <c r="J26" i="3"/>
  <c r="G26" i="3"/>
  <c r="F26" i="3"/>
  <c r="AA25" i="3"/>
  <c r="Z25" i="3"/>
  <c r="Y25" i="3"/>
  <c r="X25" i="3"/>
  <c r="T25" i="3"/>
  <c r="S25" i="3"/>
  <c r="R25" i="3"/>
  <c r="Q25" i="3"/>
  <c r="O25" i="3"/>
  <c r="N25" i="3"/>
  <c r="M25" i="3"/>
  <c r="L25" i="3"/>
  <c r="K25" i="3"/>
  <c r="J25" i="3"/>
  <c r="G25" i="3"/>
  <c r="F25" i="3"/>
  <c r="AA24" i="3"/>
  <c r="Z24" i="3"/>
  <c r="Y24" i="3"/>
  <c r="X24" i="3"/>
  <c r="T24" i="3"/>
  <c r="S24" i="3"/>
  <c r="R24" i="3"/>
  <c r="Q24" i="3"/>
  <c r="O24" i="3"/>
  <c r="N24" i="3"/>
  <c r="M24" i="3"/>
  <c r="L24" i="3"/>
  <c r="K24" i="3"/>
  <c r="J24" i="3"/>
  <c r="G24" i="3"/>
  <c r="F24" i="3"/>
  <c r="AA23" i="3"/>
  <c r="Z23" i="3"/>
  <c r="Y23" i="3"/>
  <c r="X23" i="3"/>
  <c r="T23" i="3"/>
  <c r="S23" i="3"/>
  <c r="R23" i="3"/>
  <c r="Q23" i="3"/>
  <c r="O23" i="3"/>
  <c r="N23" i="3"/>
  <c r="M23" i="3"/>
  <c r="L23" i="3"/>
  <c r="K23" i="3"/>
  <c r="J23" i="3"/>
  <c r="G23" i="3"/>
  <c r="F23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P5" i="3"/>
  <c r="O5" i="3"/>
  <c r="N5" i="3"/>
  <c r="M5" i="3"/>
  <c r="L5" i="3"/>
  <c r="K5" i="3"/>
  <c r="J5" i="3"/>
  <c r="I5" i="3"/>
  <c r="H5" i="3"/>
  <c r="G5" i="3"/>
  <c r="F5" i="3"/>
  <c r="E5" i="3"/>
  <c r="D5" i="3"/>
  <c r="P4" i="3"/>
  <c r="O4" i="3"/>
  <c r="N4" i="3"/>
  <c r="M4" i="3"/>
  <c r="L4" i="3"/>
  <c r="K4" i="3"/>
  <c r="J4" i="3"/>
  <c r="I4" i="3"/>
  <c r="H4" i="3"/>
  <c r="G4" i="3"/>
  <c r="F4" i="3"/>
  <c r="E4" i="3"/>
  <c r="D4" i="3"/>
  <c r="P3" i="3"/>
  <c r="O3" i="3"/>
  <c r="N3" i="3"/>
  <c r="M3" i="3"/>
  <c r="L3" i="3"/>
  <c r="K3" i="3"/>
  <c r="J3" i="3"/>
  <c r="I3" i="3"/>
  <c r="H3" i="3"/>
  <c r="G3" i="3"/>
  <c r="F3" i="3"/>
  <c r="E3" i="3"/>
  <c r="D3" i="3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D67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D26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D17" i="4"/>
  <c r="D16" i="4"/>
  <c r="D13" i="4"/>
  <c r="D12" i="4"/>
  <c r="D11" i="4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6" i="1"/>
  <c r="D12" i="1"/>
  <c r="D13" i="1" s="1"/>
  <c r="C24" i="6" l="1"/>
  <c r="C26" i="6" s="1"/>
  <c r="C14" i="6"/>
  <c r="C9" i="6"/>
  <c r="C16" i="6" s="1"/>
  <c r="O66" i="1"/>
  <c r="O67" i="1" s="1"/>
  <c r="K66" i="1"/>
  <c r="K67" i="1" s="1"/>
  <c r="G66" i="1"/>
  <c r="G67" i="1" s="1"/>
  <c r="N63" i="1"/>
  <c r="N64" i="1" s="1"/>
  <c r="J63" i="1"/>
  <c r="J64" i="1" s="1"/>
  <c r="F63" i="1"/>
  <c r="F64" i="1" s="1"/>
  <c r="O51" i="1"/>
  <c r="O53" i="1" s="1"/>
  <c r="K51" i="1"/>
  <c r="K53" i="1" s="1"/>
  <c r="G51" i="1"/>
  <c r="G53" i="1" s="1"/>
  <c r="N47" i="1"/>
  <c r="J47" i="1"/>
  <c r="J49" i="1" s="1"/>
  <c r="F47" i="1"/>
  <c r="N43" i="1"/>
  <c r="J43" i="1"/>
  <c r="F43" i="1"/>
  <c r="Q39" i="1"/>
  <c r="Q41" i="1" s="1"/>
  <c r="M39" i="1"/>
  <c r="I39" i="1"/>
  <c r="E39" i="1"/>
  <c r="E41" i="1" s="1"/>
  <c r="Q35" i="1"/>
  <c r="M35" i="1"/>
  <c r="I35" i="1"/>
  <c r="E35" i="1"/>
  <c r="P31" i="1"/>
  <c r="L31" i="1"/>
  <c r="H31" i="1"/>
  <c r="P27" i="1"/>
  <c r="P29" i="1" s="1"/>
  <c r="L27" i="1"/>
  <c r="L29" i="1" s="1"/>
  <c r="H27" i="1"/>
  <c r="H29" i="1" s="1"/>
  <c r="O23" i="1"/>
  <c r="K23" i="1"/>
  <c r="G23" i="1"/>
  <c r="P21" i="1"/>
  <c r="L21" i="1"/>
  <c r="H21" i="1"/>
  <c r="Q20" i="1"/>
  <c r="M20" i="1"/>
  <c r="I20" i="1"/>
  <c r="E20" i="1"/>
  <c r="N19" i="1"/>
  <c r="J19" i="1"/>
  <c r="F19" i="1"/>
  <c r="N66" i="1"/>
  <c r="N67" i="1" s="1"/>
  <c r="J66" i="1"/>
  <c r="J67" i="1" s="1"/>
  <c r="F66" i="1"/>
  <c r="F67" i="1" s="1"/>
  <c r="Q63" i="1"/>
  <c r="Q64" i="1" s="1"/>
  <c r="M63" i="1"/>
  <c r="M64" i="1" s="1"/>
  <c r="I63" i="1"/>
  <c r="I64" i="1" s="1"/>
  <c r="E63" i="1"/>
  <c r="E64" i="1" s="1"/>
  <c r="N51" i="1"/>
  <c r="J51" i="1"/>
  <c r="F51" i="1"/>
  <c r="Q47" i="1"/>
  <c r="M47" i="1"/>
  <c r="I47" i="1"/>
  <c r="I49" i="1" s="1"/>
  <c r="E47" i="1"/>
  <c r="Q43" i="1"/>
  <c r="M43" i="1"/>
  <c r="I43" i="1"/>
  <c r="E43" i="1"/>
  <c r="P39" i="1"/>
  <c r="L39" i="1"/>
  <c r="H39" i="1"/>
  <c r="P35" i="1"/>
  <c r="P37" i="1" s="1"/>
  <c r="L35" i="1"/>
  <c r="L37" i="1" s="1"/>
  <c r="H35" i="1"/>
  <c r="H37" i="1" s="1"/>
  <c r="O31" i="1"/>
  <c r="K31" i="1"/>
  <c r="G31" i="1"/>
  <c r="O27" i="1"/>
  <c r="O29" i="1" s="1"/>
  <c r="K27" i="1"/>
  <c r="K29" i="1" s="1"/>
  <c r="G27" i="1"/>
  <c r="G29" i="1" s="1"/>
  <c r="N23" i="1"/>
  <c r="N24" i="1" s="1"/>
  <c r="J23" i="1"/>
  <c r="J25" i="1" s="1"/>
  <c r="F23" i="1"/>
  <c r="F24" i="1" s="1"/>
  <c r="O21" i="1"/>
  <c r="K21" i="1"/>
  <c r="G21" i="1"/>
  <c r="P20" i="1"/>
  <c r="L20" i="1"/>
  <c r="H20" i="1"/>
  <c r="Q19" i="1"/>
  <c r="M19" i="1"/>
  <c r="I19" i="1"/>
  <c r="E19" i="1"/>
  <c r="Q66" i="1"/>
  <c r="M66" i="1"/>
  <c r="I66" i="1"/>
  <c r="E66" i="1"/>
  <c r="P63" i="1"/>
  <c r="P64" i="1" s="1"/>
  <c r="L63" i="1"/>
  <c r="L64" i="1" s="1"/>
  <c r="H63" i="1"/>
  <c r="H64" i="1" s="1"/>
  <c r="Q51" i="1"/>
  <c r="Q53" i="1" s="1"/>
  <c r="M51" i="1"/>
  <c r="M53" i="1" s="1"/>
  <c r="I51" i="1"/>
  <c r="I53" i="1" s="1"/>
  <c r="E51" i="1"/>
  <c r="E53" i="1" s="1"/>
  <c r="P47" i="1"/>
  <c r="L47" i="1"/>
  <c r="H47" i="1"/>
  <c r="P43" i="1"/>
  <c r="P45" i="1" s="1"/>
  <c r="L43" i="1"/>
  <c r="H43" i="1"/>
  <c r="H45" i="1" s="1"/>
  <c r="O39" i="1"/>
  <c r="K39" i="1"/>
  <c r="G39" i="1"/>
  <c r="O35" i="1"/>
  <c r="O37" i="1" s="1"/>
  <c r="K35" i="1"/>
  <c r="K37" i="1" s="1"/>
  <c r="G35" i="1"/>
  <c r="N31" i="1"/>
  <c r="N32" i="1" s="1"/>
  <c r="J31" i="1"/>
  <c r="J33" i="1" s="1"/>
  <c r="F31" i="1"/>
  <c r="F32" i="1" s="1"/>
  <c r="N27" i="1"/>
  <c r="J27" i="1"/>
  <c r="F27" i="1"/>
  <c r="Q23" i="1"/>
  <c r="Q24" i="1" s="1"/>
  <c r="M23" i="1"/>
  <c r="M25" i="1" s="1"/>
  <c r="I23" i="1"/>
  <c r="I24" i="1" s="1"/>
  <c r="E23" i="1"/>
  <c r="E25" i="1" s="1"/>
  <c r="N21" i="1"/>
  <c r="J21" i="1"/>
  <c r="F21" i="1"/>
  <c r="O20" i="1"/>
  <c r="K20" i="1"/>
  <c r="G20" i="1"/>
  <c r="P19" i="1"/>
  <c r="L19" i="1"/>
  <c r="H19" i="1"/>
  <c r="D11" i="1"/>
  <c r="D17" i="1" s="1"/>
  <c r="D18" i="1" s="1"/>
  <c r="P66" i="1"/>
  <c r="P68" i="1" s="1"/>
  <c r="P69" i="1" s="1"/>
  <c r="P71" i="1" s="1"/>
  <c r="P72" i="1" s="1"/>
  <c r="L66" i="1"/>
  <c r="L68" i="1" s="1"/>
  <c r="L69" i="1" s="1"/>
  <c r="L70" i="1" s="1"/>
  <c r="H66" i="1"/>
  <c r="H68" i="1" s="1"/>
  <c r="H69" i="1" s="1"/>
  <c r="H71" i="1" s="1"/>
  <c r="H72" i="1" s="1"/>
  <c r="D66" i="1"/>
  <c r="O63" i="1"/>
  <c r="O64" i="1" s="1"/>
  <c r="K63" i="1"/>
  <c r="K64" i="1" s="1"/>
  <c r="G63" i="1"/>
  <c r="G64" i="1" s="1"/>
  <c r="P51" i="1"/>
  <c r="L51" i="1"/>
  <c r="H51" i="1"/>
  <c r="H53" i="1" s="1"/>
  <c r="O47" i="1"/>
  <c r="K47" i="1"/>
  <c r="G47" i="1"/>
  <c r="O43" i="1"/>
  <c r="O45" i="1" s="1"/>
  <c r="K43" i="1"/>
  <c r="K44" i="1" s="1"/>
  <c r="G43" i="1"/>
  <c r="G45" i="1" s="1"/>
  <c r="N39" i="1"/>
  <c r="N40" i="1" s="1"/>
  <c r="J39" i="1"/>
  <c r="J41" i="1" s="1"/>
  <c r="F39" i="1"/>
  <c r="F40" i="1" s="1"/>
  <c r="N35" i="1"/>
  <c r="J35" i="1"/>
  <c r="F35" i="1"/>
  <c r="Q31" i="1"/>
  <c r="Q32" i="1" s="1"/>
  <c r="M31" i="1"/>
  <c r="M33" i="1" s="1"/>
  <c r="I31" i="1"/>
  <c r="I32" i="1" s="1"/>
  <c r="E31" i="1"/>
  <c r="E33" i="1" s="1"/>
  <c r="Q27" i="1"/>
  <c r="M27" i="1"/>
  <c r="I27" i="1"/>
  <c r="E27" i="1"/>
  <c r="P23" i="1"/>
  <c r="L23" i="1"/>
  <c r="H23" i="1"/>
  <c r="Q21" i="1"/>
  <c r="M21" i="1"/>
  <c r="I21" i="1"/>
  <c r="E21" i="1"/>
  <c r="N20" i="1"/>
  <c r="J20" i="1"/>
  <c r="F20" i="1"/>
  <c r="O19" i="1"/>
  <c r="K19" i="1"/>
  <c r="G19" i="1"/>
  <c r="D61" i="1"/>
  <c r="G37" i="1"/>
  <c r="I41" i="1"/>
  <c r="E49" i="1"/>
  <c r="M49" i="1"/>
  <c r="J68" i="1"/>
  <c r="J69" i="1" s="1"/>
  <c r="P53" i="1"/>
  <c r="M24" i="1"/>
  <c r="F49" i="1"/>
  <c r="N49" i="1"/>
  <c r="C17" i="6" l="1"/>
  <c r="C39" i="6" s="1"/>
  <c r="G28" i="1"/>
  <c r="O68" i="1"/>
  <c r="O69" i="1" s="1"/>
  <c r="H70" i="1"/>
  <c r="D68" i="1"/>
  <c r="D69" i="1" s="1"/>
  <c r="D71" i="1" s="1"/>
  <c r="D72" i="1" s="1"/>
  <c r="D74" i="1" s="1"/>
  <c r="D75" i="1" s="1"/>
  <c r="D62" i="1"/>
  <c r="D63" i="1" s="1"/>
  <c r="D64" i="1" s="1"/>
  <c r="M32" i="1"/>
  <c r="P70" i="1"/>
  <c r="F25" i="1"/>
  <c r="E52" i="1"/>
  <c r="G68" i="1"/>
  <c r="G69" i="1" s="1"/>
  <c r="G71" i="1" s="1"/>
  <c r="G72" i="1" s="1"/>
  <c r="I52" i="1"/>
  <c r="C25" i="6"/>
  <c r="C40" i="6"/>
  <c r="K68" i="1"/>
  <c r="K69" i="1" s="1"/>
  <c r="K71" i="1" s="1"/>
  <c r="K72" i="1" s="1"/>
  <c r="P67" i="1"/>
  <c r="M52" i="1"/>
  <c r="L71" i="1"/>
  <c r="L72" i="1" s="1"/>
  <c r="O28" i="1"/>
  <c r="D67" i="1"/>
  <c r="F41" i="1"/>
  <c r="L67" i="1"/>
  <c r="K45" i="1"/>
  <c r="Q25" i="1"/>
  <c r="L44" i="1"/>
  <c r="F33" i="1"/>
  <c r="N25" i="1"/>
  <c r="N68" i="1"/>
  <c r="N69" i="1" s="1"/>
  <c r="H67" i="1"/>
  <c r="I25" i="1"/>
  <c r="L52" i="1"/>
  <c r="L36" i="1"/>
  <c r="Q48" i="1"/>
  <c r="H28" i="1"/>
  <c r="M40" i="1"/>
  <c r="G49" i="1"/>
  <c r="G48" i="1"/>
  <c r="P49" i="1"/>
  <c r="P48" i="1"/>
  <c r="P41" i="1"/>
  <c r="P40" i="1"/>
  <c r="Q33" i="1"/>
  <c r="L25" i="1"/>
  <c r="L24" i="1"/>
  <c r="M29" i="1"/>
  <c r="M28" i="1"/>
  <c r="N37" i="1"/>
  <c r="N36" i="1"/>
  <c r="G44" i="1"/>
  <c r="K49" i="1"/>
  <c r="K48" i="1"/>
  <c r="P52" i="1"/>
  <c r="N29" i="1"/>
  <c r="N28" i="1"/>
  <c r="G36" i="1"/>
  <c r="K41" i="1"/>
  <c r="K40" i="1"/>
  <c r="P44" i="1"/>
  <c r="I68" i="1"/>
  <c r="I69" i="1" s="1"/>
  <c r="I67" i="1"/>
  <c r="K33" i="1"/>
  <c r="K32" i="1"/>
  <c r="P36" i="1"/>
  <c r="E45" i="1"/>
  <c r="E44" i="1"/>
  <c r="E48" i="1"/>
  <c r="F53" i="1"/>
  <c r="F52" i="1"/>
  <c r="G25" i="1"/>
  <c r="G24" i="1"/>
  <c r="L28" i="1"/>
  <c r="P33" i="1"/>
  <c r="P32" i="1"/>
  <c r="Q37" i="1"/>
  <c r="Q36" i="1"/>
  <c r="Q40" i="1"/>
  <c r="F48" i="1"/>
  <c r="K52" i="1"/>
  <c r="J29" i="1"/>
  <c r="J28" i="1"/>
  <c r="E68" i="1"/>
  <c r="E69" i="1" s="1"/>
  <c r="E67" i="1"/>
  <c r="E32" i="1"/>
  <c r="N41" i="1"/>
  <c r="I33" i="1"/>
  <c r="P25" i="1"/>
  <c r="P24" i="1"/>
  <c r="Q29" i="1"/>
  <c r="Q28" i="1"/>
  <c r="O49" i="1"/>
  <c r="O48" i="1"/>
  <c r="K36" i="1"/>
  <c r="O41" i="1"/>
  <c r="O40" i="1"/>
  <c r="H49" i="1"/>
  <c r="H48" i="1"/>
  <c r="M68" i="1"/>
  <c r="M69" i="1" s="1"/>
  <c r="M67" i="1"/>
  <c r="K28" i="1"/>
  <c r="O33" i="1"/>
  <c r="O32" i="1"/>
  <c r="H41" i="1"/>
  <c r="H40" i="1"/>
  <c r="I45" i="1"/>
  <c r="I44" i="1"/>
  <c r="I48" i="1"/>
  <c r="J53" i="1"/>
  <c r="J52" i="1"/>
  <c r="K25" i="1"/>
  <c r="K24" i="1"/>
  <c r="P28" i="1"/>
  <c r="E37" i="1"/>
  <c r="E36" i="1"/>
  <c r="E40" i="1"/>
  <c r="F45" i="1"/>
  <c r="F44" i="1"/>
  <c r="J48" i="1"/>
  <c r="O52" i="1"/>
  <c r="H25" i="1"/>
  <c r="H24" i="1"/>
  <c r="J37" i="1"/>
  <c r="J36" i="1"/>
  <c r="G41" i="1"/>
  <c r="G40" i="1"/>
  <c r="N33" i="1"/>
  <c r="L53" i="1"/>
  <c r="L45" i="1"/>
  <c r="F68" i="1"/>
  <c r="F69" i="1" s="1"/>
  <c r="F70" i="1" s="1"/>
  <c r="Q52" i="1"/>
  <c r="Q49" i="1"/>
  <c r="M41" i="1"/>
  <c r="E29" i="1"/>
  <c r="E28" i="1"/>
  <c r="F37" i="1"/>
  <c r="F36" i="1"/>
  <c r="J40" i="1"/>
  <c r="O44" i="1"/>
  <c r="H52" i="1"/>
  <c r="E24" i="1"/>
  <c r="F29" i="1"/>
  <c r="F28" i="1"/>
  <c r="J32" i="1"/>
  <c r="O36" i="1"/>
  <c r="H44" i="1"/>
  <c r="L49" i="1"/>
  <c r="L48" i="1"/>
  <c r="Q68" i="1"/>
  <c r="Q69" i="1" s="1"/>
  <c r="Q67" i="1"/>
  <c r="J24" i="1"/>
  <c r="H36" i="1"/>
  <c r="L41" i="1"/>
  <c r="L40" i="1"/>
  <c r="M45" i="1"/>
  <c r="M44" i="1"/>
  <c r="M48" i="1"/>
  <c r="N53" i="1"/>
  <c r="N52" i="1"/>
  <c r="O25" i="1"/>
  <c r="O24" i="1"/>
  <c r="H33" i="1"/>
  <c r="H32" i="1"/>
  <c r="I37" i="1"/>
  <c r="I36" i="1"/>
  <c r="I40" i="1"/>
  <c r="J45" i="1"/>
  <c r="J44" i="1"/>
  <c r="N48" i="1"/>
  <c r="I29" i="1"/>
  <c r="I28" i="1"/>
  <c r="G33" i="1"/>
  <c r="G32" i="1"/>
  <c r="Q45" i="1"/>
  <c r="Q44" i="1"/>
  <c r="L33" i="1"/>
  <c r="L32" i="1"/>
  <c r="M37" i="1"/>
  <c r="M36" i="1"/>
  <c r="N45" i="1"/>
  <c r="N44" i="1"/>
  <c r="G52" i="1"/>
  <c r="D70" i="1"/>
  <c r="D47" i="1"/>
  <c r="D21" i="1"/>
  <c r="D43" i="1"/>
  <c r="D27" i="1"/>
  <c r="D39" i="1"/>
  <c r="D23" i="1"/>
  <c r="D20" i="1"/>
  <c r="D31" i="1"/>
  <c r="D19" i="1"/>
  <c r="D51" i="1"/>
  <c r="D35" i="1"/>
  <c r="J71" i="1"/>
  <c r="J72" i="1" s="1"/>
  <c r="J70" i="1"/>
  <c r="N71" i="1"/>
  <c r="N72" i="1" s="1"/>
  <c r="N70" i="1"/>
  <c r="L73" i="1"/>
  <c r="L74" i="1"/>
  <c r="L75" i="1" s="1"/>
  <c r="O71" i="1"/>
  <c r="O72" i="1" s="1"/>
  <c r="O70" i="1"/>
  <c r="P73" i="1"/>
  <c r="P74" i="1"/>
  <c r="P75" i="1" s="1"/>
  <c r="H74" i="1"/>
  <c r="H75" i="1" s="1"/>
  <c r="H73" i="1"/>
  <c r="C18" i="6" l="1"/>
  <c r="C19" i="6" s="1"/>
  <c r="C45" i="6"/>
  <c r="C49" i="6" s="1"/>
  <c r="C31" i="6"/>
  <c r="C32" i="6" s="1"/>
  <c r="C35" i="6"/>
  <c r="F71" i="1"/>
  <c r="F72" i="1" s="1"/>
  <c r="G70" i="1"/>
  <c r="K70" i="1"/>
  <c r="Q70" i="1"/>
  <c r="Q71" i="1"/>
  <c r="Q72" i="1" s="1"/>
  <c r="I70" i="1"/>
  <c r="I71" i="1"/>
  <c r="I72" i="1" s="1"/>
  <c r="M70" i="1"/>
  <c r="M71" i="1"/>
  <c r="M72" i="1" s="1"/>
  <c r="E70" i="1"/>
  <c r="E71" i="1"/>
  <c r="E72" i="1" s="1"/>
  <c r="D73" i="1"/>
  <c r="D52" i="1"/>
  <c r="D53" i="1"/>
  <c r="D25" i="1"/>
  <c r="D24" i="1"/>
  <c r="D28" i="1"/>
  <c r="D29" i="1"/>
  <c r="D41" i="1"/>
  <c r="D40" i="1"/>
  <c r="D49" i="1"/>
  <c r="D48" i="1"/>
  <c r="D33" i="1"/>
  <c r="D32" i="1"/>
  <c r="D36" i="1"/>
  <c r="D37" i="1"/>
  <c r="D44" i="1"/>
  <c r="D45" i="1"/>
  <c r="D77" i="1"/>
  <c r="D78" i="1" s="1"/>
  <c r="D76" i="1"/>
  <c r="F73" i="1"/>
  <c r="F74" i="1"/>
  <c r="F75" i="1" s="1"/>
  <c r="L77" i="1"/>
  <c r="L78" i="1" s="1"/>
  <c r="L76" i="1"/>
  <c r="P77" i="1"/>
  <c r="P78" i="1" s="1"/>
  <c r="P76" i="1"/>
  <c r="K74" i="1"/>
  <c r="K75" i="1" s="1"/>
  <c r="K73" i="1"/>
  <c r="N74" i="1"/>
  <c r="N75" i="1" s="1"/>
  <c r="N73" i="1"/>
  <c r="H76" i="1"/>
  <c r="H77" i="1"/>
  <c r="H78" i="1" s="1"/>
  <c r="O74" i="1"/>
  <c r="O75" i="1" s="1"/>
  <c r="O73" i="1"/>
  <c r="G74" i="1"/>
  <c r="G75" i="1" s="1"/>
  <c r="G73" i="1"/>
  <c r="J73" i="1"/>
  <c r="J74" i="1"/>
  <c r="J75" i="1" s="1"/>
  <c r="C53" i="6" l="1"/>
  <c r="C54" i="6" s="1"/>
  <c r="C36" i="6"/>
  <c r="C46" i="6"/>
  <c r="C55" i="6" s="1"/>
  <c r="C50" i="6"/>
  <c r="C58" i="6" s="1"/>
  <c r="F67" i="6" s="1"/>
  <c r="C61" i="6"/>
  <c r="F69" i="6" s="1"/>
  <c r="C69" i="6"/>
  <c r="E74" i="1"/>
  <c r="E75" i="1" s="1"/>
  <c r="E73" i="1"/>
  <c r="I73" i="1"/>
  <c r="I74" i="1"/>
  <c r="I75" i="1" s="1"/>
  <c r="M73" i="1"/>
  <c r="M74" i="1"/>
  <c r="M75" i="1" s="1"/>
  <c r="Q73" i="1"/>
  <c r="Q74" i="1"/>
  <c r="Q75" i="1" s="1"/>
  <c r="P80" i="1"/>
  <c r="P81" i="1" s="1"/>
  <c r="P79" i="1"/>
  <c r="J77" i="1"/>
  <c r="J78" i="1" s="1"/>
  <c r="J76" i="1"/>
  <c r="F77" i="1"/>
  <c r="F78" i="1" s="1"/>
  <c r="F76" i="1"/>
  <c r="N77" i="1"/>
  <c r="N78" i="1" s="1"/>
  <c r="N76" i="1"/>
  <c r="O76" i="1"/>
  <c r="O77" i="1"/>
  <c r="O78" i="1" s="1"/>
  <c r="H80" i="1"/>
  <c r="H81" i="1" s="1"/>
  <c r="H79" i="1"/>
  <c r="G76" i="1"/>
  <c r="G77" i="1"/>
  <c r="G78" i="1" s="1"/>
  <c r="K77" i="1"/>
  <c r="K78" i="1" s="1"/>
  <c r="K76" i="1"/>
  <c r="L80" i="1"/>
  <c r="L81" i="1" s="1"/>
  <c r="L79" i="1"/>
  <c r="D80" i="1"/>
  <c r="D81" i="1" s="1"/>
  <c r="D79" i="1"/>
  <c r="C48" i="6" l="1"/>
  <c r="C47" i="6"/>
  <c r="C51" i="6"/>
  <c r="G69" i="6"/>
  <c r="F70" i="6"/>
  <c r="C59" i="6"/>
  <c r="D69" i="6"/>
  <c r="C70" i="6" s="1"/>
  <c r="E69" i="6"/>
  <c r="H69" i="6" s="1"/>
  <c r="Q76" i="1"/>
  <c r="Q77" i="1"/>
  <c r="Q78" i="1" s="1"/>
  <c r="I76" i="1"/>
  <c r="I77" i="1"/>
  <c r="I78" i="1" s="1"/>
  <c r="M76" i="1"/>
  <c r="M77" i="1"/>
  <c r="M78" i="1" s="1"/>
  <c r="E77" i="1"/>
  <c r="E78" i="1" s="1"/>
  <c r="E76" i="1"/>
  <c r="K80" i="1"/>
  <c r="K81" i="1" s="1"/>
  <c r="K79" i="1"/>
  <c r="F79" i="1"/>
  <c r="F80" i="1"/>
  <c r="F81" i="1" s="1"/>
  <c r="G80" i="1"/>
  <c r="G81" i="1" s="1"/>
  <c r="G79" i="1"/>
  <c r="O79" i="1"/>
  <c r="O80" i="1"/>
  <c r="O81" i="1" s="1"/>
  <c r="D82" i="1"/>
  <c r="D83" i="1"/>
  <c r="D84" i="1" s="1"/>
  <c r="H82" i="1"/>
  <c r="H83" i="1"/>
  <c r="H84" i="1" s="1"/>
  <c r="P82" i="1"/>
  <c r="P83" i="1"/>
  <c r="P84" i="1" s="1"/>
  <c r="L82" i="1"/>
  <c r="L83" i="1"/>
  <c r="L84" i="1" s="1"/>
  <c r="N79" i="1"/>
  <c r="N80" i="1"/>
  <c r="N81" i="1" s="1"/>
  <c r="J79" i="1"/>
  <c r="J80" i="1"/>
  <c r="J81" i="1" s="1"/>
  <c r="F71" i="6" l="1"/>
  <c r="G70" i="6"/>
  <c r="I69" i="6"/>
  <c r="J69" i="6" s="1"/>
  <c r="E70" i="6"/>
  <c r="D70" i="6"/>
  <c r="C71" i="6" s="1"/>
  <c r="I79" i="1"/>
  <c r="I80" i="1"/>
  <c r="I81" i="1" s="1"/>
  <c r="E80" i="1"/>
  <c r="E81" i="1" s="1"/>
  <c r="E79" i="1"/>
  <c r="M80" i="1"/>
  <c r="M81" i="1" s="1"/>
  <c r="M79" i="1"/>
  <c r="Q80" i="1"/>
  <c r="Q81" i="1" s="1"/>
  <c r="Q79" i="1"/>
  <c r="J83" i="1"/>
  <c r="J84" i="1" s="1"/>
  <c r="J82" i="1"/>
  <c r="H86" i="1"/>
  <c r="H87" i="1" s="1"/>
  <c r="H85" i="1"/>
  <c r="O82" i="1"/>
  <c r="O83" i="1"/>
  <c r="O84" i="1" s="1"/>
  <c r="F83" i="1"/>
  <c r="F84" i="1" s="1"/>
  <c r="F82" i="1"/>
  <c r="N83" i="1"/>
  <c r="N84" i="1" s="1"/>
  <c r="N82" i="1"/>
  <c r="L86" i="1"/>
  <c r="L87" i="1" s="1"/>
  <c r="L85" i="1"/>
  <c r="P86" i="1"/>
  <c r="P87" i="1" s="1"/>
  <c r="P85" i="1"/>
  <c r="D86" i="1"/>
  <c r="D87" i="1" s="1"/>
  <c r="D85" i="1"/>
  <c r="G83" i="1"/>
  <c r="G84" i="1" s="1"/>
  <c r="G82" i="1"/>
  <c r="K83" i="1"/>
  <c r="K84" i="1" s="1"/>
  <c r="K82" i="1"/>
  <c r="F72" i="6" l="1"/>
  <c r="G71" i="6"/>
  <c r="D71" i="6"/>
  <c r="C72" i="6" s="1"/>
  <c r="E71" i="6"/>
  <c r="H70" i="6"/>
  <c r="I70" i="6"/>
  <c r="J70" i="6" s="1"/>
  <c r="Q83" i="1"/>
  <c r="Q84" i="1" s="1"/>
  <c r="Q82" i="1"/>
  <c r="E83" i="1"/>
  <c r="E84" i="1" s="1"/>
  <c r="E82" i="1"/>
  <c r="M82" i="1"/>
  <c r="M83" i="1"/>
  <c r="M84" i="1" s="1"/>
  <c r="I83" i="1"/>
  <c r="I84" i="1" s="1"/>
  <c r="I82" i="1"/>
  <c r="K85" i="1"/>
  <c r="K86" i="1"/>
  <c r="K87" i="1" s="1"/>
  <c r="O86" i="1"/>
  <c r="O87" i="1" s="1"/>
  <c r="O85" i="1"/>
  <c r="D88" i="1"/>
  <c r="D89" i="1"/>
  <c r="D90" i="1" s="1"/>
  <c r="L88" i="1"/>
  <c r="L89" i="1"/>
  <c r="L90" i="1" s="1"/>
  <c r="N85" i="1"/>
  <c r="N86" i="1"/>
  <c r="N87" i="1" s="1"/>
  <c r="G86" i="1"/>
  <c r="G87" i="1" s="1"/>
  <c r="G85" i="1"/>
  <c r="P88" i="1"/>
  <c r="P89" i="1"/>
  <c r="P90" i="1" s="1"/>
  <c r="F85" i="1"/>
  <c r="F86" i="1"/>
  <c r="F87" i="1" s="1"/>
  <c r="H88" i="1"/>
  <c r="H89" i="1"/>
  <c r="H90" i="1" s="1"/>
  <c r="J85" i="1"/>
  <c r="J86" i="1"/>
  <c r="J87" i="1" s="1"/>
  <c r="G72" i="6" l="1"/>
  <c r="F73" i="6"/>
  <c r="H71" i="6"/>
  <c r="I71" i="6"/>
  <c r="J71" i="6" s="1"/>
  <c r="D72" i="6"/>
  <c r="C73" i="6" s="1"/>
  <c r="E72" i="6"/>
  <c r="E85" i="1"/>
  <c r="E86" i="1"/>
  <c r="E87" i="1" s="1"/>
  <c r="I85" i="1"/>
  <c r="I86" i="1"/>
  <c r="I87" i="1" s="1"/>
  <c r="M85" i="1"/>
  <c r="M86" i="1"/>
  <c r="M87" i="1" s="1"/>
  <c r="Q86" i="1"/>
  <c r="Q87" i="1" s="1"/>
  <c r="Q85" i="1"/>
  <c r="F89" i="1"/>
  <c r="F90" i="1" s="1"/>
  <c r="F88" i="1"/>
  <c r="N89" i="1"/>
  <c r="N90" i="1" s="1"/>
  <c r="N88" i="1"/>
  <c r="D92" i="1"/>
  <c r="D93" i="1" s="1"/>
  <c r="D91" i="1"/>
  <c r="J89" i="1"/>
  <c r="J90" i="1" s="1"/>
  <c r="J88" i="1"/>
  <c r="H92" i="1"/>
  <c r="H93" i="1" s="1"/>
  <c r="H91" i="1"/>
  <c r="P92" i="1"/>
  <c r="P93" i="1" s="1"/>
  <c r="P91" i="1"/>
  <c r="K89" i="1"/>
  <c r="K90" i="1" s="1"/>
  <c r="K88" i="1"/>
  <c r="G89" i="1"/>
  <c r="G90" i="1" s="1"/>
  <c r="G88" i="1"/>
  <c r="O89" i="1"/>
  <c r="O90" i="1" s="1"/>
  <c r="O88" i="1"/>
  <c r="L92" i="1"/>
  <c r="L93" i="1" s="1"/>
  <c r="L91" i="1"/>
  <c r="G73" i="6" l="1"/>
  <c r="F74" i="6"/>
  <c r="I72" i="6"/>
  <c r="J72" i="6" s="1"/>
  <c r="H72" i="6"/>
  <c r="D73" i="6"/>
  <c r="C74" i="6" s="1"/>
  <c r="E73" i="6"/>
  <c r="M88" i="1"/>
  <c r="M89" i="1"/>
  <c r="M90" i="1" s="1"/>
  <c r="I88" i="1"/>
  <c r="I89" i="1"/>
  <c r="I90" i="1" s="1"/>
  <c r="E88" i="1"/>
  <c r="E89" i="1"/>
  <c r="E90" i="1" s="1"/>
  <c r="Q88" i="1"/>
  <c r="Q89" i="1"/>
  <c r="Q90" i="1" s="1"/>
  <c r="K91" i="1"/>
  <c r="K92" i="1"/>
  <c r="K93" i="1" s="1"/>
  <c r="L94" i="1"/>
  <c r="L95" i="1"/>
  <c r="L96" i="1" s="1"/>
  <c r="D94" i="1"/>
  <c r="D95" i="1"/>
  <c r="D96" i="1" s="1"/>
  <c r="O91" i="1"/>
  <c r="O92" i="1"/>
  <c r="O93" i="1" s="1"/>
  <c r="H94" i="1"/>
  <c r="H95" i="1"/>
  <c r="H96" i="1" s="1"/>
  <c r="G91" i="1"/>
  <c r="G92" i="1"/>
  <c r="G93" i="1" s="1"/>
  <c r="P94" i="1"/>
  <c r="P95" i="1"/>
  <c r="P96" i="1" s="1"/>
  <c r="J91" i="1"/>
  <c r="J92" i="1"/>
  <c r="J93" i="1" s="1"/>
  <c r="N91" i="1"/>
  <c r="N92" i="1"/>
  <c r="N93" i="1" s="1"/>
  <c r="F91" i="1"/>
  <c r="F92" i="1"/>
  <c r="F93" i="1" s="1"/>
  <c r="F75" i="6" l="1"/>
  <c r="G74" i="6"/>
  <c r="I74" i="6"/>
  <c r="J74" i="6" s="1"/>
  <c r="H74" i="6"/>
  <c r="I73" i="6"/>
  <c r="J73" i="6" s="1"/>
  <c r="H73" i="6"/>
  <c r="E74" i="6"/>
  <c r="D74" i="6"/>
  <c r="C75" i="6" s="1"/>
  <c r="E91" i="1"/>
  <c r="E92" i="1"/>
  <c r="E93" i="1" s="1"/>
  <c r="Q92" i="1"/>
  <c r="Q93" i="1" s="1"/>
  <c r="Q91" i="1"/>
  <c r="I91" i="1"/>
  <c r="I92" i="1"/>
  <c r="I93" i="1" s="1"/>
  <c r="M92" i="1"/>
  <c r="M93" i="1" s="1"/>
  <c r="M91" i="1"/>
  <c r="D97" i="1"/>
  <c r="D98" i="1"/>
  <c r="D99" i="1" s="1"/>
  <c r="L98" i="1"/>
  <c r="L99" i="1" s="1"/>
  <c r="L97" i="1"/>
  <c r="J95" i="1"/>
  <c r="J96" i="1" s="1"/>
  <c r="J94" i="1"/>
  <c r="H98" i="1"/>
  <c r="H99" i="1" s="1"/>
  <c r="H97" i="1"/>
  <c r="N95" i="1"/>
  <c r="N96" i="1" s="1"/>
  <c r="N94" i="1"/>
  <c r="G95" i="1"/>
  <c r="G96" i="1" s="1"/>
  <c r="G94" i="1"/>
  <c r="K95" i="1"/>
  <c r="K96" i="1" s="1"/>
  <c r="K94" i="1"/>
  <c r="F95" i="1"/>
  <c r="F96" i="1" s="1"/>
  <c r="F94" i="1"/>
  <c r="P97" i="1"/>
  <c r="P98" i="1"/>
  <c r="P99" i="1" s="1"/>
  <c r="O95" i="1"/>
  <c r="O96" i="1" s="1"/>
  <c r="O94" i="1"/>
  <c r="G75" i="6" l="1"/>
  <c r="I75" i="6"/>
  <c r="J75" i="6" s="1"/>
  <c r="H75" i="6"/>
  <c r="F76" i="6"/>
  <c r="E75" i="6"/>
  <c r="D75" i="6"/>
  <c r="C76" i="6" s="1"/>
  <c r="E94" i="1"/>
  <c r="E95" i="1"/>
  <c r="E96" i="1" s="1"/>
  <c r="I94" i="1"/>
  <c r="I95" i="1"/>
  <c r="I96" i="1" s="1"/>
  <c r="M94" i="1"/>
  <c r="M95" i="1"/>
  <c r="M96" i="1" s="1"/>
  <c r="Q95" i="1"/>
  <c r="Q96" i="1" s="1"/>
  <c r="Q94" i="1"/>
  <c r="D100" i="1"/>
  <c r="D101" i="1"/>
  <c r="D102" i="1" s="1"/>
  <c r="O98" i="1"/>
  <c r="O99" i="1" s="1"/>
  <c r="O97" i="1"/>
  <c r="J97" i="1"/>
  <c r="J98" i="1"/>
  <c r="J99" i="1" s="1"/>
  <c r="K98" i="1"/>
  <c r="K99" i="1" s="1"/>
  <c r="K97" i="1"/>
  <c r="N97" i="1"/>
  <c r="N98" i="1"/>
  <c r="N99" i="1" s="1"/>
  <c r="P100" i="1"/>
  <c r="P101" i="1"/>
  <c r="P102" i="1" s="1"/>
  <c r="F98" i="1"/>
  <c r="F99" i="1" s="1"/>
  <c r="F97" i="1"/>
  <c r="G98" i="1"/>
  <c r="G99" i="1" s="1"/>
  <c r="G97" i="1"/>
  <c r="H101" i="1"/>
  <c r="H102" i="1" s="1"/>
  <c r="H100" i="1"/>
  <c r="L101" i="1"/>
  <c r="L102" i="1" s="1"/>
  <c r="L100" i="1"/>
  <c r="I76" i="6" l="1"/>
  <c r="J76" i="6" s="1"/>
  <c r="H76" i="6"/>
  <c r="G76" i="6"/>
  <c r="F77" i="6"/>
  <c r="E76" i="6"/>
  <c r="D76" i="6"/>
  <c r="C77" i="6" s="1"/>
  <c r="I97" i="1"/>
  <c r="I98" i="1"/>
  <c r="I99" i="1" s="1"/>
  <c r="M97" i="1"/>
  <c r="M98" i="1"/>
  <c r="M99" i="1" s="1"/>
  <c r="Q98" i="1"/>
  <c r="Q99" i="1" s="1"/>
  <c r="Q97" i="1"/>
  <c r="E97" i="1"/>
  <c r="E98" i="1"/>
  <c r="E99" i="1" s="1"/>
  <c r="D103" i="1"/>
  <c r="D104" i="1"/>
  <c r="D105" i="1" s="1"/>
  <c r="L103" i="1"/>
  <c r="L104" i="1"/>
  <c r="L105" i="1" s="1"/>
  <c r="N101" i="1"/>
  <c r="N102" i="1" s="1"/>
  <c r="N100" i="1"/>
  <c r="J100" i="1"/>
  <c r="J101" i="1"/>
  <c r="J102" i="1" s="1"/>
  <c r="P104" i="1"/>
  <c r="P105" i="1" s="1"/>
  <c r="P103" i="1"/>
  <c r="G100" i="1"/>
  <c r="G101" i="1"/>
  <c r="G102" i="1" s="1"/>
  <c r="K100" i="1"/>
  <c r="K101" i="1"/>
  <c r="K102" i="1" s="1"/>
  <c r="H104" i="1"/>
  <c r="H105" i="1" s="1"/>
  <c r="H103" i="1"/>
  <c r="F100" i="1"/>
  <c r="F101" i="1"/>
  <c r="F102" i="1" s="1"/>
  <c r="O100" i="1"/>
  <c r="O101" i="1"/>
  <c r="O102" i="1" s="1"/>
  <c r="I77" i="6" l="1"/>
  <c r="J77" i="6" s="1"/>
  <c r="H77" i="6"/>
  <c r="G77" i="6"/>
  <c r="F78" i="6"/>
  <c r="E77" i="6"/>
  <c r="D77" i="6"/>
  <c r="C78" i="6" s="1"/>
  <c r="E101" i="1"/>
  <c r="E102" i="1" s="1"/>
  <c r="E100" i="1"/>
  <c r="M101" i="1"/>
  <c r="M102" i="1" s="1"/>
  <c r="M100" i="1"/>
  <c r="I101" i="1"/>
  <c r="I102" i="1" s="1"/>
  <c r="I100" i="1"/>
  <c r="Q101" i="1"/>
  <c r="Q102" i="1" s="1"/>
  <c r="Q100" i="1"/>
  <c r="L106" i="1"/>
  <c r="L107" i="1"/>
  <c r="L108" i="1" s="1"/>
  <c r="H107" i="1"/>
  <c r="H108" i="1" s="1"/>
  <c r="H106" i="1"/>
  <c r="N104" i="1"/>
  <c r="N105" i="1" s="1"/>
  <c r="N103" i="1"/>
  <c r="O103" i="1"/>
  <c r="O104" i="1"/>
  <c r="O105" i="1" s="1"/>
  <c r="G103" i="1"/>
  <c r="G104" i="1"/>
  <c r="G105" i="1" s="1"/>
  <c r="J104" i="1"/>
  <c r="J105" i="1" s="1"/>
  <c r="J103" i="1"/>
  <c r="D107" i="1"/>
  <c r="D108" i="1" s="1"/>
  <c r="D106" i="1"/>
  <c r="K103" i="1"/>
  <c r="K104" i="1"/>
  <c r="K105" i="1" s="1"/>
  <c r="P107" i="1"/>
  <c r="P108" i="1" s="1"/>
  <c r="P106" i="1"/>
  <c r="F103" i="1"/>
  <c r="F104" i="1"/>
  <c r="F105" i="1" s="1"/>
  <c r="F79" i="6" l="1"/>
  <c r="H78" i="6"/>
  <c r="G78" i="6"/>
  <c r="I78" i="6"/>
  <c r="J78" i="6" s="1"/>
  <c r="E78" i="6"/>
  <c r="D78" i="6"/>
  <c r="C79" i="6" s="1"/>
  <c r="Q104" i="1"/>
  <c r="Q105" i="1" s="1"/>
  <c r="Q103" i="1"/>
  <c r="M104" i="1"/>
  <c r="M105" i="1" s="1"/>
  <c r="M103" i="1"/>
  <c r="I104" i="1"/>
  <c r="I105" i="1" s="1"/>
  <c r="I103" i="1"/>
  <c r="E104" i="1"/>
  <c r="E105" i="1" s="1"/>
  <c r="E103" i="1"/>
  <c r="J107" i="1"/>
  <c r="J108" i="1" s="1"/>
  <c r="J106" i="1"/>
  <c r="G107" i="1"/>
  <c r="G108" i="1" s="1"/>
  <c r="G106" i="1"/>
  <c r="P110" i="1"/>
  <c r="P111" i="1" s="1"/>
  <c r="P109" i="1"/>
  <c r="D110" i="1"/>
  <c r="D111" i="1" s="1"/>
  <c r="D109" i="1"/>
  <c r="H109" i="1"/>
  <c r="H110" i="1"/>
  <c r="H111" i="1" s="1"/>
  <c r="N107" i="1"/>
  <c r="N108" i="1" s="1"/>
  <c r="N106" i="1"/>
  <c r="F107" i="1"/>
  <c r="F108" i="1" s="1"/>
  <c r="F106" i="1"/>
  <c r="K107" i="1"/>
  <c r="K108" i="1" s="1"/>
  <c r="K106" i="1"/>
  <c r="O107" i="1"/>
  <c r="O108" i="1" s="1"/>
  <c r="O106" i="1"/>
  <c r="L110" i="1"/>
  <c r="L111" i="1" s="1"/>
  <c r="L109" i="1"/>
  <c r="I79" i="6" l="1"/>
  <c r="J79" i="6" s="1"/>
  <c r="H79" i="6"/>
  <c r="G79" i="6"/>
  <c r="F80" i="6"/>
  <c r="E79" i="6"/>
  <c r="D79" i="6"/>
  <c r="C80" i="6" s="1"/>
  <c r="E106" i="1"/>
  <c r="E107" i="1"/>
  <c r="E108" i="1" s="1"/>
  <c r="M106" i="1"/>
  <c r="M107" i="1"/>
  <c r="M108" i="1" s="1"/>
  <c r="I106" i="1"/>
  <c r="I107" i="1"/>
  <c r="I108" i="1" s="1"/>
  <c r="Q107" i="1"/>
  <c r="Q108" i="1" s="1"/>
  <c r="Q106" i="1"/>
  <c r="O109" i="1"/>
  <c r="O110" i="1"/>
  <c r="O111" i="1" s="1"/>
  <c r="L113" i="1"/>
  <c r="L114" i="1" s="1"/>
  <c r="L112" i="1"/>
  <c r="F110" i="1"/>
  <c r="F111" i="1" s="1"/>
  <c r="F109" i="1"/>
  <c r="P113" i="1"/>
  <c r="P114" i="1" s="1"/>
  <c r="P112" i="1"/>
  <c r="G109" i="1"/>
  <c r="G110" i="1"/>
  <c r="G111" i="1" s="1"/>
  <c r="N110" i="1"/>
  <c r="N111" i="1" s="1"/>
  <c r="N109" i="1"/>
  <c r="H112" i="1"/>
  <c r="H113" i="1"/>
  <c r="H114" i="1" s="1"/>
  <c r="K109" i="1"/>
  <c r="K110" i="1"/>
  <c r="K111" i="1" s="1"/>
  <c r="D112" i="1"/>
  <c r="D113" i="1"/>
  <c r="D114" i="1" s="1"/>
  <c r="J110" i="1"/>
  <c r="J111" i="1" s="1"/>
  <c r="J109" i="1"/>
  <c r="F81" i="6" l="1"/>
  <c r="H80" i="6"/>
  <c r="G80" i="6"/>
  <c r="I80" i="6"/>
  <c r="J80" i="6" s="1"/>
  <c r="E80" i="6"/>
  <c r="D80" i="6"/>
  <c r="C81" i="6" s="1"/>
  <c r="M110" i="1"/>
  <c r="M111" i="1" s="1"/>
  <c r="M109" i="1"/>
  <c r="Q110" i="1"/>
  <c r="Q111" i="1" s="1"/>
  <c r="Q109" i="1"/>
  <c r="E110" i="1"/>
  <c r="E111" i="1" s="1"/>
  <c r="E109" i="1"/>
  <c r="I110" i="1"/>
  <c r="I111" i="1" s="1"/>
  <c r="I109" i="1"/>
  <c r="N112" i="1"/>
  <c r="N113" i="1"/>
  <c r="N114" i="1" s="1"/>
  <c r="H115" i="1"/>
  <c r="H116" i="1"/>
  <c r="H117" i="1" s="1"/>
  <c r="O113" i="1"/>
  <c r="O114" i="1" s="1"/>
  <c r="O112" i="1"/>
  <c r="F113" i="1"/>
  <c r="F114" i="1" s="1"/>
  <c r="F112" i="1"/>
  <c r="D115" i="1"/>
  <c r="D116" i="1"/>
  <c r="D117" i="1" s="1"/>
  <c r="L116" i="1"/>
  <c r="L117" i="1" s="1"/>
  <c r="L115" i="1"/>
  <c r="P116" i="1"/>
  <c r="P117" i="1" s="1"/>
  <c r="P115" i="1"/>
  <c r="G113" i="1"/>
  <c r="G114" i="1" s="1"/>
  <c r="G112" i="1"/>
  <c r="J113" i="1"/>
  <c r="J114" i="1" s="1"/>
  <c r="J112" i="1"/>
  <c r="K113" i="1"/>
  <c r="K114" i="1" s="1"/>
  <c r="K112" i="1"/>
  <c r="H81" i="6" l="1"/>
  <c r="F82" i="6"/>
  <c r="G81" i="6"/>
  <c r="I81" i="6"/>
  <c r="J81" i="6" s="1"/>
  <c r="E81" i="6"/>
  <c r="D81" i="6"/>
  <c r="C82" i="6" s="1"/>
  <c r="I113" i="1"/>
  <c r="I114" i="1" s="1"/>
  <c r="I112" i="1"/>
  <c r="Q112" i="1"/>
  <c r="Q113" i="1"/>
  <c r="Q114" i="1" s="1"/>
  <c r="E112" i="1"/>
  <c r="E113" i="1"/>
  <c r="E114" i="1" s="1"/>
  <c r="M112" i="1"/>
  <c r="M113" i="1"/>
  <c r="M114" i="1" s="1"/>
  <c r="L119" i="1"/>
  <c r="L120" i="1" s="1"/>
  <c r="L118" i="1"/>
  <c r="H119" i="1"/>
  <c r="H120" i="1" s="1"/>
  <c r="H118" i="1"/>
  <c r="J115" i="1"/>
  <c r="J116" i="1"/>
  <c r="J117" i="1" s="1"/>
  <c r="P118" i="1"/>
  <c r="P119" i="1"/>
  <c r="P120" i="1" s="1"/>
  <c r="F116" i="1"/>
  <c r="F117" i="1" s="1"/>
  <c r="F115" i="1"/>
  <c r="G115" i="1"/>
  <c r="G116" i="1"/>
  <c r="G117" i="1" s="1"/>
  <c r="K115" i="1"/>
  <c r="K116" i="1"/>
  <c r="K117" i="1" s="1"/>
  <c r="D118" i="1"/>
  <c r="D119" i="1"/>
  <c r="D120" i="1" s="1"/>
  <c r="N115" i="1"/>
  <c r="N116" i="1"/>
  <c r="N117" i="1" s="1"/>
  <c r="O115" i="1"/>
  <c r="O116" i="1"/>
  <c r="O117" i="1" s="1"/>
  <c r="F83" i="6" l="1"/>
  <c r="I82" i="6"/>
  <c r="J82" i="6" s="1"/>
  <c r="H82" i="6"/>
  <c r="G82" i="6"/>
  <c r="E82" i="6"/>
  <c r="D82" i="6"/>
  <c r="C83" i="6" s="1"/>
  <c r="M116" i="1"/>
  <c r="M117" i="1" s="1"/>
  <c r="M115" i="1"/>
  <c r="Q116" i="1"/>
  <c r="Q117" i="1" s="1"/>
  <c r="Q115" i="1"/>
  <c r="E115" i="1"/>
  <c r="E116" i="1"/>
  <c r="E117" i="1" s="1"/>
  <c r="I116" i="1"/>
  <c r="I117" i="1" s="1"/>
  <c r="I115" i="1"/>
  <c r="N119" i="1"/>
  <c r="N120" i="1" s="1"/>
  <c r="N118" i="1"/>
  <c r="P121" i="1"/>
  <c r="P122" i="1"/>
  <c r="P123" i="1" s="1"/>
  <c r="O119" i="1"/>
  <c r="O120" i="1" s="1"/>
  <c r="O118" i="1"/>
  <c r="F119" i="1"/>
  <c r="F120" i="1" s="1"/>
  <c r="F118" i="1"/>
  <c r="H122" i="1"/>
  <c r="H123" i="1" s="1"/>
  <c r="H121" i="1"/>
  <c r="K119" i="1"/>
  <c r="K120" i="1" s="1"/>
  <c r="K118" i="1"/>
  <c r="D122" i="1"/>
  <c r="D123" i="1" s="1"/>
  <c r="D121" i="1"/>
  <c r="G119" i="1"/>
  <c r="G120" i="1" s="1"/>
  <c r="G118" i="1"/>
  <c r="J118" i="1"/>
  <c r="J119" i="1"/>
  <c r="J120" i="1" s="1"/>
  <c r="L122" i="1"/>
  <c r="L123" i="1" s="1"/>
  <c r="L121" i="1"/>
  <c r="F84" i="6" l="1"/>
  <c r="I83" i="6"/>
  <c r="J83" i="6" s="1"/>
  <c r="G83" i="6"/>
  <c r="H83" i="6"/>
  <c r="E83" i="6"/>
  <c r="D83" i="6"/>
  <c r="C84" i="6" s="1"/>
  <c r="M118" i="1"/>
  <c r="M119" i="1"/>
  <c r="M120" i="1" s="1"/>
  <c r="I118" i="1"/>
  <c r="I119" i="1"/>
  <c r="I120" i="1" s="1"/>
  <c r="Q118" i="1"/>
  <c r="Q119" i="1"/>
  <c r="Q120" i="1" s="1"/>
  <c r="E118" i="1"/>
  <c r="E119" i="1"/>
  <c r="E120" i="1" s="1"/>
  <c r="P124" i="1"/>
  <c r="P125" i="1"/>
  <c r="P126" i="1" s="1"/>
  <c r="D125" i="1"/>
  <c r="D126" i="1" s="1"/>
  <c r="D124" i="1"/>
  <c r="L125" i="1"/>
  <c r="L126" i="1" s="1"/>
  <c r="L124" i="1"/>
  <c r="G121" i="1"/>
  <c r="G122" i="1"/>
  <c r="G123" i="1" s="1"/>
  <c r="O121" i="1"/>
  <c r="O122" i="1"/>
  <c r="O123" i="1" s="1"/>
  <c r="J121" i="1"/>
  <c r="J122" i="1"/>
  <c r="J123" i="1" s="1"/>
  <c r="H125" i="1"/>
  <c r="H126" i="1" s="1"/>
  <c r="H124" i="1"/>
  <c r="K121" i="1"/>
  <c r="K122" i="1"/>
  <c r="K123" i="1" s="1"/>
  <c r="F121" i="1"/>
  <c r="F122" i="1"/>
  <c r="F123" i="1" s="1"/>
  <c r="N122" i="1"/>
  <c r="N123" i="1" s="1"/>
  <c r="N121" i="1"/>
  <c r="I84" i="6" l="1"/>
  <c r="J84" i="6" s="1"/>
  <c r="G84" i="6"/>
  <c r="F85" i="6"/>
  <c r="H84" i="6"/>
  <c r="D84" i="6"/>
  <c r="C85" i="6" s="1"/>
  <c r="E84" i="6"/>
  <c r="E121" i="1"/>
  <c r="E122" i="1"/>
  <c r="E123" i="1" s="1"/>
  <c r="I121" i="1"/>
  <c r="I122" i="1"/>
  <c r="I123" i="1" s="1"/>
  <c r="Q122" i="1"/>
  <c r="Q123" i="1" s="1"/>
  <c r="Q121" i="1"/>
  <c r="M121" i="1"/>
  <c r="M122" i="1"/>
  <c r="M123" i="1" s="1"/>
  <c r="N125" i="1"/>
  <c r="N126" i="1" s="1"/>
  <c r="N124" i="1"/>
  <c r="F124" i="1"/>
  <c r="F125" i="1"/>
  <c r="F126" i="1" s="1"/>
  <c r="K125" i="1"/>
  <c r="K126" i="1" s="1"/>
  <c r="K124" i="1"/>
  <c r="J124" i="1"/>
  <c r="J125" i="1"/>
  <c r="J126" i="1" s="1"/>
  <c r="O125" i="1"/>
  <c r="O126" i="1" s="1"/>
  <c r="O124" i="1"/>
  <c r="G125" i="1"/>
  <c r="G126" i="1" s="1"/>
  <c r="G124" i="1"/>
  <c r="I85" i="6" l="1"/>
  <c r="J85" i="6" s="1"/>
  <c r="H85" i="6"/>
  <c r="F86" i="6"/>
  <c r="G85" i="6"/>
  <c r="D85" i="6"/>
  <c r="C86" i="6" s="1"/>
  <c r="E85" i="6"/>
  <c r="I124" i="1"/>
  <c r="I125" i="1"/>
  <c r="I126" i="1" s="1"/>
  <c r="Q125" i="1"/>
  <c r="Q126" i="1" s="1"/>
  <c r="Q124" i="1"/>
  <c r="M124" i="1"/>
  <c r="M125" i="1"/>
  <c r="M126" i="1" s="1"/>
  <c r="E124" i="1"/>
  <c r="E125" i="1"/>
  <c r="E126" i="1" s="1"/>
  <c r="G86" i="6" l="1"/>
  <c r="F87" i="6"/>
  <c r="I86" i="6"/>
  <c r="J86" i="6" s="1"/>
  <c r="H86" i="6"/>
  <c r="D86" i="6"/>
  <c r="C87" i="6" s="1"/>
  <c r="E86" i="6"/>
  <c r="I87" i="6" l="1"/>
  <c r="J87" i="6" s="1"/>
  <c r="H87" i="6"/>
  <c r="G87" i="6"/>
  <c r="F88" i="6"/>
  <c r="E87" i="6"/>
  <c r="D87" i="6"/>
  <c r="C88" i="6" s="1"/>
  <c r="G88" i="6" l="1"/>
  <c r="F89" i="6"/>
  <c r="I88" i="6"/>
  <c r="J88" i="6" s="1"/>
  <c r="H88" i="6"/>
  <c r="D88" i="6"/>
  <c r="C89" i="6" s="1"/>
  <c r="E88" i="6"/>
  <c r="H89" i="6" l="1"/>
  <c r="G89" i="6"/>
  <c r="F90" i="6"/>
  <c r="I89" i="6"/>
  <c r="J89" i="6" s="1"/>
  <c r="E89" i="6"/>
  <c r="D89" i="6"/>
  <c r="C90" i="6" s="1"/>
  <c r="H90" i="6" l="1"/>
  <c r="I90" i="6"/>
  <c r="J90" i="6" s="1"/>
  <c r="G90" i="6"/>
  <c r="F91" i="6"/>
  <c r="E90" i="6"/>
  <c r="D90" i="6"/>
  <c r="C91" i="6" s="1"/>
  <c r="H91" i="6" l="1"/>
  <c r="F92" i="6"/>
  <c r="G91" i="6"/>
  <c r="I91" i="6"/>
  <c r="J91" i="6" s="1"/>
  <c r="E91" i="6"/>
  <c r="D91" i="6"/>
  <c r="C92" i="6" s="1"/>
  <c r="I92" i="6" l="1"/>
  <c r="J92" i="6" s="1"/>
  <c r="H92" i="6"/>
  <c r="G92" i="6"/>
  <c r="F93" i="6"/>
  <c r="E92" i="6"/>
  <c r="D92" i="6"/>
  <c r="C93" i="6" s="1"/>
  <c r="I93" i="6" l="1"/>
  <c r="J93" i="6" s="1"/>
  <c r="H93" i="6"/>
  <c r="F94" i="6"/>
  <c r="G93" i="6"/>
  <c r="E93" i="6"/>
  <c r="D93" i="6"/>
  <c r="C94" i="6" s="1"/>
  <c r="F95" i="6" l="1"/>
  <c r="H94" i="6"/>
  <c r="I94" i="6"/>
  <c r="J94" i="6" s="1"/>
  <c r="G94" i="6"/>
  <c r="E94" i="6"/>
  <c r="D94" i="6"/>
  <c r="C95" i="6" s="1"/>
  <c r="H95" i="6" l="1"/>
  <c r="F96" i="6"/>
  <c r="I95" i="6"/>
  <c r="J95" i="6" s="1"/>
  <c r="G95" i="6"/>
  <c r="E95" i="6"/>
  <c r="D95" i="6"/>
  <c r="C96" i="6" s="1"/>
  <c r="F97" i="6" l="1"/>
  <c r="I96" i="6"/>
  <c r="J96" i="6" s="1"/>
  <c r="G96" i="6"/>
  <c r="H96" i="6"/>
  <c r="D96" i="6"/>
  <c r="C97" i="6" s="1"/>
  <c r="E96" i="6"/>
  <c r="G97" i="6" l="1"/>
  <c r="I97" i="6"/>
  <c r="J97" i="6" s="1"/>
  <c r="H97" i="6"/>
  <c r="E97" i="6"/>
  <c r="D9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marshall</author>
  </authors>
  <commentList>
    <comment ref="C9" authorId="0" shapeId="0" xr:uid="{DEE6E5E3-F6BC-4EBD-AEA7-D11A4F26BAC5}">
      <text>
        <r>
          <rPr>
            <b/>
            <sz val="9"/>
            <color indexed="81"/>
            <rFont val="Tahoma"/>
            <family val="2"/>
          </rPr>
          <t>Crockcroft Gualt Eqution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160EDB0F-FF03-4406-8F4A-1B4B32EEE914}">
      <text>
        <r>
          <rPr>
            <b/>
            <sz val="9"/>
            <color indexed="81"/>
            <rFont val="Tahoma"/>
            <family val="2"/>
          </rPr>
          <t>Vd(Liters)=FFM * Vd(L/kg)</t>
        </r>
      </text>
    </comment>
    <comment ref="C16" authorId="0" shapeId="0" xr:uid="{5CFAF7A1-F7BD-4950-9D8D-4BD8C5C3E983}">
      <text>
        <r>
          <rPr>
            <b/>
            <sz val="9"/>
            <color indexed="81"/>
            <rFont val="Tahoma"/>
            <family val="2"/>
          </rPr>
          <t>Clearance (L/hr)=0.25 *Creatinine Clearance *60/1000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 shapeId="0" xr:uid="{94E9611A-01BD-4435-A78B-954FEB768963}">
      <text>
        <r>
          <rPr>
            <b/>
            <sz val="9"/>
            <color indexed="81"/>
            <rFont val="Tahoma"/>
            <family val="2"/>
          </rPr>
          <t>Therapeutic Range: 0.5-1.2
Prophylaxis of mania: 0.6-1 mEq/L
Acute mania: 0.5-1.2 mEq/L
Prophylaxis of depression: 0.4-0.8 mEq/L</t>
        </r>
      </text>
    </comment>
    <comment ref="C38" authorId="0" shapeId="0" xr:uid="{5E915E70-AAE7-4F5E-AF65-D1555B7091B5}">
      <text>
        <r>
          <rPr>
            <b/>
            <sz val="9"/>
            <color indexed="81"/>
            <rFont val="Tahoma"/>
            <family val="2"/>
          </rPr>
          <t>This is the number of doses given before a post regimen 12 hour level is determined. If you are assuming steady state enter a large number of doses eg. 100.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3" authorId="0" shapeId="0" xr:uid="{789696D0-FF9E-40E3-A806-7DB9A5902053}">
      <text>
        <r>
          <rPr>
            <b/>
            <sz val="9"/>
            <color indexed="81"/>
            <rFont val="Tahoma"/>
            <family val="2"/>
          </rPr>
          <t xml:space="preserve">Levels should be drawn in the morning 12 hours after the evening dose as current therapeutic ranges where established with levels drawn 12 hours post dose.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3E85C1B9-DED8-41C5-90A5-106A581C2573}">
      <text>
        <r>
          <rPr>
            <b/>
            <sz val="9"/>
            <color indexed="81"/>
            <rFont val="Tahoma"/>
            <family val="2"/>
          </rPr>
          <t>Change this value until a value is found that causes the estimated level to converge on the actual messured level.</t>
        </r>
      </text>
    </comment>
  </commentList>
</comments>
</file>

<file path=xl/sharedStrings.xml><?xml version="1.0" encoding="utf-8"?>
<sst xmlns="http://schemas.openxmlformats.org/spreadsheetml/2006/main" count="831" uniqueCount="275">
  <si>
    <t xml:space="preserve">Winter Basic Clinical Pharmacokinetics Sixth Ed. </t>
  </si>
  <si>
    <t xml:space="preserve">Pkineticdrugdosing.com </t>
  </si>
  <si>
    <t>Lithium Dosing for Adults (18 years of age and older)</t>
  </si>
  <si>
    <t>Patient Specific Dosing Based on Population Parameters</t>
  </si>
  <si>
    <t>Input Fraction Absorbed (0.85-1)</t>
  </si>
  <si>
    <r>
      <rPr>
        <b/>
        <sz val="11"/>
        <color theme="1"/>
        <rFont val="Calibri"/>
        <family val="2"/>
        <scheme val="minor"/>
      </rPr>
      <t>Population Predicted Values:</t>
    </r>
    <r>
      <rPr>
        <sz val="11"/>
        <color theme="1"/>
        <rFont val="Calibri"/>
        <family val="2"/>
        <scheme val="minor"/>
      </rPr>
      <t xml:space="preserve"> Enter the patient's demographic data in blue, predicted values are in the same column below.</t>
    </r>
  </si>
  <si>
    <t>Input Age (Years)</t>
  </si>
  <si>
    <t>Find the dosing interval by going down the column to a dosing interval that contains the desired 12 hour post dose level.</t>
  </si>
  <si>
    <t xml:space="preserve">Input Height (Inches) </t>
  </si>
  <si>
    <t>Input Actual Weight (kg)</t>
  </si>
  <si>
    <t>interval row. Go across the row until you find  the closest 12 hour post dose level to the patient's actual level. The patient’s clearance</t>
  </si>
  <si>
    <t>Input Sex</t>
  </si>
  <si>
    <t>Male</t>
  </si>
  <si>
    <t xml:space="preserve"> and elimination rate may be found up  the column. Now go up or down this column, changing the dosage interval, selecting the</t>
  </si>
  <si>
    <t>Input Serum Creatinine (mg/dL)</t>
  </si>
  <si>
    <t>Creatinine Clearnace (ml/min) Using FFM</t>
  </si>
  <si>
    <t>The charts below are specific to the patient's input values (age, height, weight, dose, dosage form and fraction absorbed).</t>
  </si>
  <si>
    <t>Fat Free Mass Calculated (kg)</t>
  </si>
  <si>
    <t>The first column is specific to the patient's creatinine clearance the other columns are for dosing adustments with know levels.</t>
  </si>
  <si>
    <t>Weight to Use (kg) for Vd and Clearance</t>
  </si>
  <si>
    <t>Input Dose (mg)</t>
  </si>
  <si>
    <t>Select Lithium Salt</t>
  </si>
  <si>
    <t>Carbonate</t>
  </si>
  <si>
    <t>Lithium mEq per Dose</t>
  </si>
  <si>
    <t>Creatinine Clearnace (ml/min) Using Less of FFM or weight</t>
  </si>
  <si>
    <t>Lithium Clearance (L/Hr)</t>
  </si>
  <si>
    <t>K (1/hours)</t>
  </si>
  <si>
    <t xml:space="preserve">Half-life (Hours) </t>
  </si>
  <si>
    <t>Time to steady state (hours) or ~ 5 half-lives</t>
  </si>
  <si>
    <t>Tau (hours)</t>
  </si>
  <si>
    <t>Peak (mEq/L)</t>
  </si>
  <si>
    <t>Trough (mEq/L)</t>
  </si>
  <si>
    <t>12 hour post evening dose level (mEq/L)</t>
  </si>
  <si>
    <t>Serum Level mEq/L or mmol/L</t>
  </si>
  <si>
    <t xml:space="preserve">The chart below uses the method of superposition to demonstrate the accumulation towards steady state levels </t>
  </si>
  <si>
    <t>for the demographic values entered above and the dosing interval entered below. This chart may be used for dosing adjustments</t>
  </si>
  <si>
    <t>using the method described above while monitoring levels after a specific dose number of an initial dosing regiment.</t>
  </si>
  <si>
    <t>Winter's Method Using Method Of Superposition</t>
  </si>
  <si>
    <t>Creatinine Clearnace (ml/min) Using Fat Free Mass</t>
  </si>
  <si>
    <t>Half-life</t>
  </si>
  <si>
    <t>Number of Doses to 97% Steady State</t>
  </si>
  <si>
    <t>Input Tau (hours)</t>
  </si>
  <si>
    <t>Dose1</t>
  </si>
  <si>
    <t>12 hour post dose level (mEq/L)</t>
  </si>
  <si>
    <t>Dose2</t>
  </si>
  <si>
    <t>Trough Prior to Dose (mEq/L</t>
  </si>
  <si>
    <t>Dose3</t>
  </si>
  <si>
    <t>Trough Prior to Dose (mEq/L)</t>
  </si>
  <si>
    <t>Dose4</t>
  </si>
  <si>
    <t>Dose5</t>
  </si>
  <si>
    <t>Dose6</t>
  </si>
  <si>
    <t>Dose7</t>
  </si>
  <si>
    <t>Dose8</t>
  </si>
  <si>
    <t>Dose9</t>
  </si>
  <si>
    <t>Dose10</t>
  </si>
  <si>
    <t>Dose11</t>
  </si>
  <si>
    <t>Dose12</t>
  </si>
  <si>
    <t>Dose13</t>
  </si>
  <si>
    <t>Dose14</t>
  </si>
  <si>
    <t>Dose15</t>
  </si>
  <si>
    <t>Dose16</t>
  </si>
  <si>
    <t>Dose17</t>
  </si>
  <si>
    <t>Dose18</t>
  </si>
  <si>
    <t>Dose19</t>
  </si>
  <si>
    <t>Dose20</t>
  </si>
  <si>
    <t>Dose21</t>
  </si>
  <si>
    <t>Serum level mEq/L or mmol/L</t>
  </si>
  <si>
    <t>Salt</t>
  </si>
  <si>
    <t>mEq/300 mg</t>
  </si>
  <si>
    <t>Sex</t>
  </si>
  <si>
    <t>Citrate</t>
  </si>
  <si>
    <t>Female</t>
  </si>
  <si>
    <t xml:space="preserve">Provided for educational purposes, no warranties are expressed or implied. </t>
  </si>
  <si>
    <t>clcr</t>
  </si>
  <si>
    <t>Cl (l/hr)</t>
  </si>
  <si>
    <t>T1/2</t>
  </si>
  <si>
    <t>Vd</t>
  </si>
  <si>
    <t>Pepin Method</t>
  </si>
  <si>
    <t>Mathmatically this method uses an incorrect method to calculate Vd as if it were a dependent parameter when it is an independent parameter.</t>
  </si>
  <si>
    <t>Jarmain Method</t>
  </si>
  <si>
    <t>Assuming LBW = FFM=70</t>
  </si>
  <si>
    <t>Winters Method</t>
  </si>
  <si>
    <t xml:space="preserve"> dosing interval containing the closest 12 hour post dose level to the desired level. You may also change the input dose while staying in the same clearance column. </t>
  </si>
  <si>
    <t>Note this error causes Vd shrinks as creatinine clearance declines.</t>
  </si>
  <si>
    <t>M</t>
  </si>
  <si>
    <t>F</t>
  </si>
  <si>
    <t>Pepin Clearance (ml/min)</t>
  </si>
  <si>
    <t>Actural Dose per Day</t>
  </si>
  <si>
    <t>Winter Predicted level</t>
  </si>
  <si>
    <t>Winter Clearance (ml/min)</t>
  </si>
  <si>
    <t>K Winter</t>
  </si>
  <si>
    <t>K pepin</t>
  </si>
  <si>
    <t>Pepin Predicted Level Pepin</t>
  </si>
  <si>
    <t>winter Square or errors</t>
  </si>
  <si>
    <t>Cp predict fiting</t>
  </si>
  <si>
    <t>Square Errors fitting</t>
  </si>
  <si>
    <t>Clearance Intercept</t>
  </si>
  <si>
    <t>Cp predicted error</t>
  </si>
  <si>
    <t>bias</t>
  </si>
  <si>
    <t>Height Meters</t>
  </si>
  <si>
    <t>Inches calculated</t>
  </si>
  <si>
    <t>IBW Devine Formula</t>
  </si>
  <si>
    <t>Age (years)</t>
  </si>
  <si>
    <t>Serum Creatinine mg/dl</t>
  </si>
  <si>
    <t>Creatinine Clearance (ml/min)</t>
  </si>
  <si>
    <t>Vd (L) = 0.7*IBW</t>
  </si>
  <si>
    <t>Acutal Level 1</t>
  </si>
  <si>
    <t>Actual Level 2</t>
  </si>
  <si>
    <t>Actual Level 3</t>
  </si>
  <si>
    <t>Averag of All Levels</t>
  </si>
  <si>
    <t>Winters Pred-Actual Erros</t>
  </si>
  <si>
    <t>Vd (liters)</t>
  </si>
  <si>
    <t>clearance Slope Ml/min</t>
  </si>
  <si>
    <t>Fitting Sum of Square of Errors</t>
  </si>
  <si>
    <t>Crcl</t>
  </si>
  <si>
    <t>Input Weight</t>
  </si>
  <si>
    <t>Input Single Test Dose mg (Lithium Carbonate)</t>
  </si>
  <si>
    <t>Single Dose 24 hour Post Dose Level Method</t>
  </si>
  <si>
    <t>K</t>
  </si>
  <si>
    <t>Cp=SFD*Exp(-KT)/VD, 24 hours post 600 mg</t>
  </si>
  <si>
    <t xml:space="preserve">Dose Q12H to achieve 0.8 mmol/l </t>
  </si>
  <si>
    <t>Input Test Dose (mg)</t>
  </si>
  <si>
    <r>
      <rPr>
        <b/>
        <sz val="11"/>
        <color theme="1"/>
        <rFont val="Calibri"/>
        <family val="2"/>
        <scheme val="minor"/>
      </rPr>
      <t>Dosing after known steady state levels:</t>
    </r>
    <r>
      <rPr>
        <sz val="11"/>
        <color theme="1"/>
        <rFont val="Calibri"/>
        <family val="2"/>
        <scheme val="minor"/>
      </rPr>
      <t xml:space="preserve"> Input the patient's demographic date and current dose. Find the patient's current dosage </t>
    </r>
  </si>
  <si>
    <t>Estimately Dose Every 12 Hours to obtain a level 0.8 meq/L</t>
  </si>
  <si>
    <t xml:space="preserve">Enter Maintenance Dose </t>
  </si>
  <si>
    <t>Enter the patient's demographic data in blue, enter the single test dose you will be or have administered.</t>
  </si>
  <si>
    <r>
      <rPr>
        <b/>
        <sz val="11"/>
        <color theme="1"/>
        <rFont val="Calibri"/>
        <family val="2"/>
        <scheme val="minor"/>
      </rPr>
      <t>Dosing after single test dose level:</t>
    </r>
    <r>
      <rPr>
        <sz val="11"/>
        <color theme="1"/>
        <rFont val="Calibri"/>
        <family val="2"/>
        <scheme val="minor"/>
      </rPr>
      <t xml:space="preserve"> </t>
    </r>
  </si>
  <si>
    <t>Input number of hours level drawn post test dose</t>
  </si>
  <si>
    <t>Input number of hours level drawn post test dose (hours)</t>
  </si>
  <si>
    <t>level. You may also change the input dose while staying in the patient's clearance column.</t>
  </si>
  <si>
    <t>The first column is specific to the patient's creatinine clearance the other columns are for dosing adustments after the test dose.</t>
  </si>
  <si>
    <t xml:space="preserve">The patient's lithium clearance and elimination rate are found in this column. Enter the desired maintenace dose.  </t>
  </si>
  <si>
    <t xml:space="preserve">Go across the "Measured level 24 hours post test dose" row until you find  the level closest to the patient's actual level. </t>
  </si>
  <si>
    <t xml:space="preserve">Stay in the patient's clearance column, select a dosing interval containing the closest 12 hour post dose level to the desired  </t>
  </si>
  <si>
    <t>Monitor patient levels every 2-3 days to assure levels are following expected results.</t>
  </si>
  <si>
    <t>for the demographic values and dose entered above and the dosing interval entered below. This chart may be used for dosing adjustments</t>
  </si>
  <si>
    <t>Measured Level Post Test Dose (Ordered 24 hours post dose)</t>
  </si>
  <si>
    <t>Single Test Dose Method: Using immiate release product given in the evening, with a single level 24 hours post dose.</t>
  </si>
  <si>
    <t xml:space="preserve">Dosing after single test dose level: </t>
  </si>
  <si>
    <t>Ln level</t>
  </si>
  <si>
    <t>mEq/L</t>
  </si>
  <si>
    <t>Enter 2 nd Level Post Dose and Time Level Drawn Post Dose</t>
  </si>
  <si>
    <t>Enter 1st Level Post Dose and Time Level Drawn Post Dose</t>
  </si>
  <si>
    <t>Half Life (hours) from levels</t>
  </si>
  <si>
    <t>K (1/hour) Calculated from levels</t>
  </si>
  <si>
    <t>Lithium Clearance (L/Hr) from levels</t>
  </si>
  <si>
    <t xml:space="preserve">K(1/Hour) </t>
  </si>
  <si>
    <t>hide</t>
  </si>
  <si>
    <t>Creatinine Clearnace (ml/min) Using Lesser of FFM or weight</t>
  </si>
  <si>
    <t>Enter 3 rd Level Post Dose and Time Level Drann Post Dose</t>
  </si>
  <si>
    <t>Hours Drawn Post Dose</t>
  </si>
  <si>
    <t>Enter a maintenance dose.  Select a dosing interval in column D that gives the closest 12 hour post dose level to your desired level.</t>
  </si>
  <si>
    <t xml:space="preserve"> Provided for educational purposes, no warranties are expressed or implied. </t>
  </si>
  <si>
    <t xml:space="preserve">Expect level at ime enter post test dose </t>
  </si>
  <si>
    <t>Enter required date shaded in blue: patient's demographics and test dose you will be or have administered.</t>
  </si>
  <si>
    <t xml:space="preserve"> if serum levels are entered. The other columns are population based  estimates based on renal function.</t>
  </si>
  <si>
    <t>The first column (column D) is a population estimated based the patient's creatinine clearance or patient specfic elimination rate</t>
  </si>
  <si>
    <r>
      <rPr>
        <b/>
        <sz val="11"/>
        <color theme="1"/>
        <rFont val="Calibri"/>
        <family val="2"/>
        <scheme val="minor"/>
      </rPr>
      <t>Test Dose Method:</t>
    </r>
    <r>
      <rPr>
        <sz val="11"/>
        <color theme="1"/>
        <rFont val="Calibri"/>
        <family val="2"/>
        <scheme val="minor"/>
      </rPr>
      <t xml:space="preserve"> Using immediate release product give one dose in the evening, measure 2-3 levels twelve or more hours post dose.</t>
    </r>
  </si>
  <si>
    <t xml:space="preserve">Enter above plus the post test dose serum levels and time drawn post dose. The calculated elimination rate will be used for all calculations in column D. </t>
  </si>
  <si>
    <t>Clearance Multiplication Factor for Drug Interaction</t>
  </si>
  <si>
    <t>Population Volume of Distribution (L/kg)</t>
  </si>
  <si>
    <t>Calculated Volume of Distribution (Liters)</t>
  </si>
  <si>
    <t>Calculated Clearance (L/hours)</t>
  </si>
  <si>
    <t>K calculated (1/hours)</t>
  </si>
  <si>
    <t>Half Life (Days)</t>
  </si>
  <si>
    <t>Days to 87.5% of Steady State (3 half-lives)</t>
  </si>
  <si>
    <t>Select Dosage Form (Note IV product is given rectally) Drop Down Box</t>
  </si>
  <si>
    <t>Oral</t>
  </si>
  <si>
    <t>Fraction Absorbed (F) for Dosage Form</t>
  </si>
  <si>
    <t xml:space="preserve"> </t>
  </si>
  <si>
    <t>Input Multiplier of K (eg 0.75, 1.25, 0.90, 1.10)</t>
  </si>
  <si>
    <t>Estimate of K (Population K * K multiplier)</t>
  </si>
  <si>
    <t>Calculated Clearance (L/hour) for measured level</t>
  </si>
  <si>
    <t>Calculated K (1/hours) for measured level</t>
  </si>
  <si>
    <t>Calculated Half-Life (Days) for measured level</t>
  </si>
  <si>
    <t>Calculated IV Loading Dose (mg) = (Cp average desired - Cp current)*Vd</t>
  </si>
  <si>
    <t>Daily Dose (mg) Used in Table and Graphic Below</t>
  </si>
  <si>
    <t>K (1/hours) Used in Table and Graphic Below</t>
  </si>
  <si>
    <t xml:space="preserve">For Educational Use Only. No warrenties are expressed or implied. </t>
  </si>
  <si>
    <t>Serum Levels Below Are Calculated By The Method of Superposition</t>
  </si>
  <si>
    <t>Hide</t>
  </si>
  <si>
    <t>Steady State Level Used (mg/L)</t>
  </si>
  <si>
    <t>Time To Steady State</t>
  </si>
  <si>
    <t>Days To State State or 4 Half-Lives)</t>
  </si>
  <si>
    <t>Time to Level (Days) book eq</t>
  </si>
  <si>
    <t>Time to Level (Days)</t>
  </si>
  <si>
    <t>Time (Days) from Level to Steady State</t>
  </si>
  <si>
    <t>Dose 1</t>
  </si>
  <si>
    <t>Dose 2</t>
  </si>
  <si>
    <t>Dose 3</t>
  </si>
  <si>
    <t>Dose 4</t>
  </si>
  <si>
    <t>Dose 5</t>
  </si>
  <si>
    <t>Dose 6</t>
  </si>
  <si>
    <t>Dose 7</t>
  </si>
  <si>
    <t>Dose 8</t>
  </si>
  <si>
    <t>Dose 9</t>
  </si>
  <si>
    <t>Dose 10</t>
  </si>
  <si>
    <t>Dose 11</t>
  </si>
  <si>
    <t>Dose 12</t>
  </si>
  <si>
    <t>Dose 13</t>
  </si>
  <si>
    <t>Dose 14</t>
  </si>
  <si>
    <t>Dose 15</t>
  </si>
  <si>
    <t>Dose 16</t>
  </si>
  <si>
    <t>Dose 17</t>
  </si>
  <si>
    <t>Dose 18</t>
  </si>
  <si>
    <t>Dose 19</t>
  </si>
  <si>
    <t>Dose 20</t>
  </si>
  <si>
    <t>Dose 21</t>
  </si>
  <si>
    <t>Dose 22</t>
  </si>
  <si>
    <t>Dose 23</t>
  </si>
  <si>
    <t>Dose 24</t>
  </si>
  <si>
    <t>Dose 25</t>
  </si>
  <si>
    <t>Dose 26</t>
  </si>
  <si>
    <t>Dose 27</t>
  </si>
  <si>
    <t>Dose 28</t>
  </si>
  <si>
    <t>Dose 29</t>
  </si>
  <si>
    <t>Input Height (Inches)</t>
  </si>
  <si>
    <t>Input Actual Weight Weight (kg)</t>
  </si>
  <si>
    <t>Input Sex (Drop Down Box)</t>
  </si>
  <si>
    <t>Input Serum Creatinine (mg/dl)</t>
  </si>
  <si>
    <t>Calculated Creatinine Clearance (ml/min) Using FFM</t>
  </si>
  <si>
    <t>Fraction Absorbed</t>
  </si>
  <si>
    <t>Select Lithium Salt (Drop Down Box)</t>
  </si>
  <si>
    <t>vd (l/kg)</t>
  </si>
  <si>
    <t xml:space="preserve">Children &amp; Adolescents </t>
  </si>
  <si>
    <t>19-59 Years</t>
  </si>
  <si>
    <t>&gt; 59 years</t>
  </si>
  <si>
    <t>ASHP</t>
  </si>
  <si>
    <t xml:space="preserve">Winters </t>
  </si>
  <si>
    <t>Population Clearnace (L/hour</t>
  </si>
  <si>
    <t>Salt (S) for Dosage Form</t>
  </si>
  <si>
    <t>Input Peak Level (mEq/L) Desired From Loading Dose</t>
  </si>
  <si>
    <t>Calculated Loading Dose (mEq/kg)</t>
  </si>
  <si>
    <t>Input Desired 12 Hour Post Dose Average Steady State Level (mEq/L)</t>
  </si>
  <si>
    <t>Input Dosage Interval</t>
  </si>
  <si>
    <t>Calculated Maintenance Dose (mEq)</t>
  </si>
  <si>
    <t>Calculated Maintenance Dose (mEq/kg/day)</t>
  </si>
  <si>
    <t>Calculated 12 hour Post Dose Steady State Level (mEq/L)</t>
  </si>
  <si>
    <t>hide/delete</t>
  </si>
  <si>
    <t>Calculated Maintenance Dose (mg)</t>
  </si>
  <si>
    <t>Lithium Meq per 300 mg Dose</t>
  </si>
  <si>
    <t>Input Estimate of Fraction Absorbed                                                   Regular Release 1, Slow Release  &gt;= 0.85</t>
  </si>
  <si>
    <t xml:space="preserve">Calculated Loading Dose (mEQ) </t>
  </si>
  <si>
    <t>Calculated Loading Dose (mg)</t>
  </si>
  <si>
    <t>Calculated Steady Stater 12 hour Post Dose Level mEq/L</t>
  </si>
  <si>
    <t>Rounded Dose (mEq)</t>
  </si>
  <si>
    <t>Estimated 12 Hour Post Dose Level after N Dose (mg/L)</t>
  </si>
  <si>
    <t>Calculated 12 Hour Post Dose Steady State Level (mEq/L)</t>
  </si>
  <si>
    <t>Starting Level if drug is on board from Prior Level (mEq/L)</t>
  </si>
  <si>
    <t>Trough Before Next Dose (mEq/L)</t>
  </si>
  <si>
    <t>not used</t>
  </si>
  <si>
    <t>note used</t>
  </si>
  <si>
    <t>Days to 87.5% of Steady State Level For Rising Levels due to new regimen</t>
  </si>
  <si>
    <t>Calculated Lithium Dose (mEq) Required For Desired Level Input Above in Cell C27.</t>
  </si>
  <si>
    <t>Calculated Lithium Dose (mg) Required</t>
  </si>
  <si>
    <t>Dose</t>
  </si>
  <si>
    <t>12 Hour PD Level (mEq/L)</t>
  </si>
  <si>
    <t>Rounded Dose in (meq)</t>
  </si>
  <si>
    <t>Predicted Level - Actual Level: (Value to Minimize) By Iteriative Process By Entering Different Values For K Multiplier Unit This Number Approaches or Is Zero.</t>
  </si>
  <si>
    <t>Calculated Days To Hold Dose to Obtain Desired Level (cell c27) when Measured Level Is Greater Than Desired Level. Assumes Doses Are Held During This Time .</t>
  </si>
  <si>
    <t>Clear all input cells by backspacing through them before stating data input.</t>
  </si>
  <si>
    <t xml:space="preserve">Population Based Dosing </t>
  </si>
  <si>
    <t xml:space="preserve">Https://Pkineticdrugdosing.com </t>
  </si>
  <si>
    <t>Lithium Dosing for Adults (18 Years and Older) Steady State &amp; Non Steady State Dosing</t>
  </si>
  <si>
    <t>Input Rounded Maintenance Dose (mg)</t>
  </si>
  <si>
    <t>Expected level (mg/L) 12 hours post dose after N doses and entered starting level</t>
  </si>
  <si>
    <t>https://Pkineticdrugdosing.com</t>
  </si>
  <si>
    <t>Patient Specific Dosing Based on Serum Levels From Above Regimen</t>
  </si>
  <si>
    <t>Calculations are Population Based  Without Levels or Patient Specific if Serum Levels Are Entered.</t>
  </si>
  <si>
    <t>Initial Level: Enter level before first dose (mg/L).                              Enter zero if no drug is on board or has been given.</t>
  </si>
  <si>
    <r>
      <t xml:space="preserve">Enter </t>
    </r>
    <r>
      <rPr>
        <b/>
        <u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>umber of Doses given after which a level drawn</t>
    </r>
  </si>
  <si>
    <t>Input Measured 12 Post Dose Level Measured after N doses above (meq/L)</t>
  </si>
  <si>
    <t xml:space="preserve">Input New Dosing Interval (hours) </t>
  </si>
  <si>
    <t>Input New Rounded Dose (mg)</t>
  </si>
  <si>
    <t>Marshall Pierce PharmD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</si>
</sst>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00000"/>
    <numFmt numFmtId="166" formatCode="0.000"/>
    <numFmt numFmtId="167" formatCode="0.0000"/>
    <numFmt numFmtId="168" formatCode="0.00000"/>
    <numFmt numFmtId="169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164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 applyProtection="1">
      <protection hidden="1"/>
    </xf>
    <xf numFmtId="0" fontId="0" fillId="3" borderId="0" xfId="0" applyFill="1" applyAlignment="1" applyProtection="1">
      <alignment horizontal="right"/>
      <protection hidden="1"/>
    </xf>
    <xf numFmtId="0" fontId="0" fillId="0" borderId="0" xfId="0" applyProtection="1">
      <protection hidden="1"/>
    </xf>
    <xf numFmtId="164" fontId="1" fillId="0" borderId="0" xfId="0" applyNumberFormat="1" applyFont="1" applyProtection="1">
      <protection hidden="1"/>
    </xf>
    <xf numFmtId="165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166" fontId="0" fillId="0" borderId="0" xfId="0" applyNumberFormat="1" applyProtection="1">
      <protection hidden="1"/>
    </xf>
    <xf numFmtId="0" fontId="1" fillId="0" borderId="1" xfId="0" applyFont="1" applyBorder="1" applyProtection="1"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Alignment="1" applyProtection="1">
      <alignment horizontal="right"/>
      <protection locked="0" hidden="1"/>
    </xf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1" fillId="5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167" fontId="0" fillId="0" borderId="0" xfId="0" applyNumberFormat="1"/>
    <xf numFmtId="166" fontId="0" fillId="0" borderId="0" xfId="0" applyNumberFormat="1"/>
    <xf numFmtId="1" fontId="0" fillId="0" borderId="0" xfId="0" applyNumberFormat="1"/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3" xfId="0" applyBorder="1"/>
    <xf numFmtId="0" fontId="1" fillId="3" borderId="0" xfId="0" applyFont="1" applyFill="1"/>
    <xf numFmtId="2" fontId="0" fillId="4" borderId="0" xfId="0" applyNumberFormat="1" applyFill="1" applyProtection="1">
      <protection locked="0" hidden="1"/>
    </xf>
    <xf numFmtId="1" fontId="0" fillId="4" borderId="0" xfId="0" applyNumberFormat="1" applyFill="1" applyProtection="1">
      <protection locked="0" hidden="1"/>
    </xf>
    <xf numFmtId="0" fontId="1" fillId="4" borderId="0" xfId="0" applyFont="1" applyFill="1" applyProtection="1">
      <protection locked="0" hidden="1"/>
    </xf>
    <xf numFmtId="0" fontId="0" fillId="4" borderId="0" xfId="0" applyFill="1" applyProtection="1">
      <protection locked="0" hidden="1"/>
    </xf>
    <xf numFmtId="0" fontId="0" fillId="4" borderId="3" xfId="0" applyFill="1" applyBorder="1" applyProtection="1">
      <protection locked="0" hidden="1"/>
    </xf>
    <xf numFmtId="0" fontId="1" fillId="6" borderId="4" xfId="0" applyFont="1" applyFill="1" applyBorder="1"/>
    <xf numFmtId="0" fontId="1" fillId="4" borderId="5" xfId="0" applyFont="1" applyFill="1" applyBorder="1"/>
    <xf numFmtId="0" fontId="1" fillId="4" borderId="3" xfId="0" applyFont="1" applyFill="1" applyBorder="1"/>
    <xf numFmtId="0" fontId="0" fillId="4" borderId="3" xfId="0" applyFill="1" applyBorder="1" applyAlignment="1" applyProtection="1">
      <alignment horizontal="center"/>
      <protection locked="0" hidden="1"/>
    </xf>
    <xf numFmtId="0" fontId="0" fillId="3" borderId="3" xfId="0" applyFill="1" applyBorder="1"/>
    <xf numFmtId="0" fontId="0" fillId="3" borderId="3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8" fontId="0" fillId="0" borderId="3" xfId="0" applyNumberFormat="1" applyBorder="1" applyAlignment="1" applyProtection="1">
      <alignment horizontal="center"/>
      <protection hidden="1"/>
    </xf>
    <xf numFmtId="167" fontId="0" fillId="0" borderId="3" xfId="0" applyNumberForma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0" fontId="1" fillId="4" borderId="3" xfId="0" applyFont="1" applyFill="1" applyBorder="1" applyAlignment="1">
      <alignment wrapText="1"/>
    </xf>
    <xf numFmtId="0" fontId="1" fillId="4" borderId="3" xfId="0" applyFont="1" applyFill="1" applyBorder="1" applyAlignment="1" applyProtection="1">
      <alignment horizontal="center"/>
      <protection locked="0" hidden="1"/>
    </xf>
    <xf numFmtId="0" fontId="1" fillId="3" borderId="3" xfId="0" applyFont="1" applyFill="1" applyBorder="1"/>
    <xf numFmtId="164" fontId="1" fillId="3" borderId="3" xfId="0" applyNumberFormat="1" applyFont="1" applyFill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164" fontId="0" fillId="3" borderId="3" xfId="0" applyNumberFormat="1" applyFill="1" applyBorder="1" applyAlignment="1" applyProtection="1">
      <alignment horizontal="center"/>
      <protection hidden="1"/>
    </xf>
    <xf numFmtId="0" fontId="1" fillId="7" borderId="3" xfId="0" applyFont="1" applyFill="1" applyBorder="1"/>
    <xf numFmtId="164" fontId="1" fillId="7" borderId="3" xfId="0" applyNumberFormat="1" applyFont="1" applyFill="1" applyBorder="1" applyAlignment="1" applyProtection="1">
      <alignment horizontal="center"/>
      <protection locked="0" hidden="1"/>
    </xf>
    <xf numFmtId="1" fontId="1" fillId="7" borderId="3" xfId="0" applyNumberFormat="1" applyFont="1" applyFill="1" applyBorder="1" applyAlignment="1" applyProtection="1">
      <alignment horizontal="center"/>
      <protection locked="0" hidden="1"/>
    </xf>
    <xf numFmtId="0" fontId="1" fillId="3" borderId="3" xfId="0" applyFont="1" applyFill="1" applyBorder="1" applyAlignment="1">
      <alignment wrapText="1"/>
    </xf>
    <xf numFmtId="0" fontId="0" fillId="0" borderId="6" xfId="0" applyBorder="1"/>
    <xf numFmtId="0" fontId="0" fillId="0" borderId="3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" fillId="4" borderId="5" xfId="0" applyFont="1" applyFill="1" applyBorder="1" applyAlignment="1">
      <alignment wrapText="1"/>
    </xf>
    <xf numFmtId="0" fontId="1" fillId="0" borderId="3" xfId="0" applyFont="1" applyBorder="1"/>
    <xf numFmtId="0" fontId="1" fillId="5" borderId="3" xfId="0" applyFont="1" applyFill="1" applyBorder="1" applyAlignment="1">
      <alignment wrapText="1"/>
    </xf>
    <xf numFmtId="169" fontId="1" fillId="3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1" fontId="1" fillId="0" borderId="3" xfId="0" applyNumberFormat="1" applyFont="1" applyBorder="1" applyAlignment="1" applyProtection="1">
      <alignment horizontal="center"/>
      <protection hidden="1"/>
    </xf>
    <xf numFmtId="0" fontId="0" fillId="8" borderId="0" xfId="0" applyFill="1"/>
    <xf numFmtId="0" fontId="0" fillId="3" borderId="0" xfId="0" applyFill="1"/>
    <xf numFmtId="0" fontId="1" fillId="6" borderId="8" xfId="0" applyFont="1" applyFill="1" applyBorder="1"/>
    <xf numFmtId="0" fontId="0" fillId="6" borderId="9" xfId="0" applyFill="1" applyBorder="1"/>
    <xf numFmtId="0" fontId="1" fillId="6" borderId="10" xfId="0" applyFont="1" applyFill="1" applyBorder="1"/>
    <xf numFmtId="0" fontId="0" fillId="6" borderId="11" xfId="0" applyFill="1" applyBorder="1"/>
    <xf numFmtId="0" fontId="1" fillId="0" borderId="5" xfId="0" applyFont="1" applyBorder="1"/>
    <xf numFmtId="164" fontId="0" fillId="0" borderId="5" xfId="0" applyNumberFormat="1" applyBorder="1" applyAlignment="1" applyProtection="1">
      <alignment horizontal="center"/>
      <protection hidden="1"/>
    </xf>
    <xf numFmtId="164" fontId="0" fillId="0" borderId="0" xfId="0" applyNumberFormat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 wrapText="1"/>
    </xf>
    <xf numFmtId="0" fontId="1" fillId="3" borderId="3" xfId="0" applyFont="1" applyFill="1" applyBorder="1" applyProtection="1">
      <protection hidden="1"/>
    </xf>
    <xf numFmtId="0" fontId="1" fillId="7" borderId="3" xfId="0" applyFont="1" applyFill="1" applyBorder="1" applyAlignment="1">
      <alignment wrapText="1"/>
    </xf>
    <xf numFmtId="2" fontId="1" fillId="0" borderId="3" xfId="0" applyNumberFormat="1" applyFont="1" applyBorder="1" applyAlignment="1" applyProtection="1">
      <alignment horizontal="center"/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 hidden="1"/>
    </xf>
    <xf numFmtId="0" fontId="0" fillId="3" borderId="3" xfId="0" applyFill="1" applyBorder="1" applyAlignment="1">
      <alignment wrapText="1"/>
    </xf>
    <xf numFmtId="2" fontId="1" fillId="3" borderId="3" xfId="0" applyNumberFormat="1" applyFont="1" applyFill="1" applyBorder="1" applyAlignment="1" applyProtection="1">
      <alignment horizontal="center"/>
      <protection hidden="1"/>
    </xf>
    <xf numFmtId="1" fontId="1" fillId="4" borderId="3" xfId="0" applyNumberFormat="1" applyFont="1" applyFill="1" applyBorder="1" applyAlignment="1" applyProtection="1">
      <alignment horizontal="center"/>
      <protection locked="0" hidden="1"/>
    </xf>
    <xf numFmtId="0" fontId="1" fillId="3" borderId="3" xfId="0" applyFont="1" applyFill="1" applyBorder="1" applyAlignment="1" applyProtection="1">
      <alignment horizontal="center"/>
      <protection hidden="1"/>
    </xf>
    <xf numFmtId="1" fontId="1" fillId="3" borderId="3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/>
    <xf numFmtId="0" fontId="0" fillId="6" borderId="3" xfId="0" applyFill="1" applyBorder="1"/>
    <xf numFmtId="0" fontId="4" fillId="0" borderId="0" xfId="1" applyProtection="1">
      <protection hidden="1"/>
    </xf>
    <xf numFmtId="0" fontId="4" fillId="0" borderId="0" xfId="1"/>
    <xf numFmtId="0" fontId="4" fillId="6" borderId="3" xfId="1" applyFill="1" applyBorder="1" applyAlignment="1">
      <alignment horizontal="center"/>
    </xf>
    <xf numFmtId="2" fontId="1" fillId="5" borderId="3" xfId="0" applyNumberFormat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Lithium Levels: The graphic assumes the new regimen is started immediately at next normal dosing interval.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19886349157812"/>
          <c:y val="0.15636512357823834"/>
          <c:w val="0.85423047847174438"/>
          <c:h val="0.71013377066340488"/>
        </c:manualLayout>
      </c:layout>
      <c:scatterChart>
        <c:scatterStyle val="lineMarker"/>
        <c:varyColors val="0"/>
        <c:ser>
          <c:idx val="0"/>
          <c:order val="0"/>
          <c:tx>
            <c:v>Trough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SSNonSSDosing!$A$69:$A$97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SSNonSSDosing!$D$69:$D$97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C6-4547-B7D8-5BFD48057B82}"/>
            </c:ext>
          </c:extLst>
        </c:ser>
        <c:ser>
          <c:idx val="1"/>
          <c:order val="1"/>
          <c:tx>
            <c:v>Peak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SSNonSSDosing!$A$69:$A$97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SSNonSSDosing!$C$69:$C$97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C6-4547-B7D8-5BFD48057B82}"/>
            </c:ext>
          </c:extLst>
        </c:ser>
        <c:ser>
          <c:idx val="2"/>
          <c:order val="2"/>
          <c:tx>
            <c:v>12 Hour Post Dose Level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SSNonSSDosing!$A$69:$A$97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SSNonSSDosing!$E$69:$E$97</c:f>
              <c:numCache>
                <c:formatCode>0.00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C6-4547-B7D8-5BFD48057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616200"/>
        <c:axId val="540618496"/>
      </c:scatterChart>
      <c:valAx>
        <c:axId val="540616200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Dose Number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18496"/>
        <c:crosses val="autoZero"/>
        <c:crossBetween val="midCat"/>
      </c:valAx>
      <c:valAx>
        <c:axId val="54061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Serum</a:t>
                </a:r>
                <a:r>
                  <a:rPr lang="en-US" baseline="0"/>
                  <a:t> Level</a:t>
                </a:r>
                <a:r>
                  <a:rPr lang="en-US"/>
                  <a:t> (mEq/L)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0616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847187205047645"/>
          <c:y val="0.92798074687183774"/>
          <c:w val="0.32649651552176662"/>
          <c:h val="5.31290547612472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1.2020997375328084E-3"/>
                  <c:y val="-0.116916375036453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'Comparison of Methods'!$Q$23:$Q$35</c:f>
              <c:numCache>
                <c:formatCode>General</c:formatCode>
                <c:ptCount val="13"/>
                <c:pt idx="0">
                  <c:v>0.94807078441218862</c:v>
                </c:pt>
                <c:pt idx="1">
                  <c:v>0.89117949061814272</c:v>
                </c:pt>
                <c:pt idx="2">
                  <c:v>0.96768631226867241</c:v>
                </c:pt>
                <c:pt idx="3">
                  <c:v>0.88061109739016341</c:v>
                </c:pt>
                <c:pt idx="4">
                  <c:v>0.88049777068714219</c:v>
                </c:pt>
                <c:pt idx="5">
                  <c:v>0.92384938353872603</c:v>
                </c:pt>
                <c:pt idx="6">
                  <c:v>0.86732135623082729</c:v>
                </c:pt>
                <c:pt idx="7">
                  <c:v>0.89811137197971891</c:v>
                </c:pt>
                <c:pt idx="8">
                  <c:v>0.91302849928290353</c:v>
                </c:pt>
                <c:pt idx="9">
                  <c:v>0.8029603179025353</c:v>
                </c:pt>
                <c:pt idx="10">
                  <c:v>0.83637321397590847</c:v>
                </c:pt>
                <c:pt idx="11">
                  <c:v>0.91107015178872064</c:v>
                </c:pt>
                <c:pt idx="12">
                  <c:v>0.88928841484572085</c:v>
                </c:pt>
              </c:numCache>
            </c:numRef>
          </c:xVal>
          <c:yVal>
            <c:numRef>
              <c:f>'Comparison of Methods'!$T$23:$T$35</c:f>
              <c:numCache>
                <c:formatCode>General</c:formatCode>
                <c:ptCount val="13"/>
                <c:pt idx="0">
                  <c:v>0.83333333333333337</c:v>
                </c:pt>
                <c:pt idx="1">
                  <c:v>0.79999999999999993</c:v>
                </c:pt>
                <c:pt idx="2">
                  <c:v>1.0666666666666667</c:v>
                </c:pt>
                <c:pt idx="3">
                  <c:v>0.53333333333333333</c:v>
                </c:pt>
                <c:pt idx="4">
                  <c:v>0.75</c:v>
                </c:pt>
                <c:pt idx="5">
                  <c:v>0.48666666666666664</c:v>
                </c:pt>
                <c:pt idx="6">
                  <c:v>0.69666666666666666</c:v>
                </c:pt>
                <c:pt idx="7">
                  <c:v>0.70000000000000007</c:v>
                </c:pt>
                <c:pt idx="8">
                  <c:v>0.52333333333333332</c:v>
                </c:pt>
                <c:pt idx="9">
                  <c:v>0.73333333333333339</c:v>
                </c:pt>
                <c:pt idx="10">
                  <c:v>0.62</c:v>
                </c:pt>
                <c:pt idx="11">
                  <c:v>0.70333333333333348</c:v>
                </c:pt>
                <c:pt idx="12">
                  <c:v>0.63666666666666671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B5-426D-935B-57D38BAB1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799328"/>
        <c:axId val="317797360"/>
      </c:scatterChart>
      <c:valAx>
        <c:axId val="317799328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97360"/>
        <c:crosses val="autoZero"/>
        <c:crossBetween val="midCat"/>
      </c:valAx>
      <c:valAx>
        <c:axId val="31779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799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68</xdr:row>
      <xdr:rowOff>4761</xdr:rowOff>
    </xdr:from>
    <xdr:to>
      <xdr:col>21</xdr:col>
      <xdr:colOff>276225</xdr:colOff>
      <xdr:row>90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14F972-D5A3-411A-81D2-8BB40AE42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647700</xdr:colOff>
      <xdr:row>38</xdr:row>
      <xdr:rowOff>119062</xdr:rowOff>
    </xdr:from>
    <xdr:to>
      <xdr:col>15</xdr:col>
      <xdr:colOff>581025</xdr:colOff>
      <xdr:row>53</xdr:row>
      <xdr:rowOff>4762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AF23CB-72FF-4CE0-A35C-DF88C210AC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kineticdrugdos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pkineticdrugdosing.com/" TargetMode="External"/><Relationship Id="rId1" Type="http://schemas.openxmlformats.org/officeDocument/2006/relationships/hyperlink" Target="https://pkineticdrugdosing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C68E-ADFF-490C-B34D-45E4AF20BC1A}">
  <dimension ref="B2:Q127"/>
  <sheetViews>
    <sheetView workbookViewId="0">
      <selection activeCell="F14" sqref="F14"/>
    </sheetView>
  </sheetViews>
  <sheetFormatPr defaultColWidth="10.7109375" defaultRowHeight="15" x14ac:dyDescent="0.25"/>
  <cols>
    <col min="1" max="1" width="10.7109375" style="5"/>
    <col min="2" max="2" width="17.42578125" style="5" customWidth="1"/>
    <col min="3" max="3" width="54.28515625" style="5" bestFit="1" customWidth="1"/>
    <col min="4" max="16384" width="10.7109375" style="5"/>
  </cols>
  <sheetData>
    <row r="2" spans="3:9" x14ac:dyDescent="0.25">
      <c r="C2" s="3" t="s">
        <v>0</v>
      </c>
      <c r="F2" s="3"/>
      <c r="I2" s="89" t="s">
        <v>262</v>
      </c>
    </row>
    <row r="3" spans="3:9" x14ac:dyDescent="0.25">
      <c r="C3" s="3" t="s">
        <v>2</v>
      </c>
      <c r="F3" s="3"/>
    </row>
    <row r="4" spans="3:9" x14ac:dyDescent="0.25">
      <c r="C4" s="3" t="s">
        <v>3</v>
      </c>
      <c r="F4" s="3"/>
    </row>
    <row r="5" spans="3:9" x14ac:dyDescent="0.25">
      <c r="C5" s="3" t="s">
        <v>4</v>
      </c>
      <c r="D5" s="13">
        <v>0.85</v>
      </c>
      <c r="F5" s="5" t="s">
        <v>5</v>
      </c>
    </row>
    <row r="6" spans="3:9" x14ac:dyDescent="0.25">
      <c r="C6" s="3" t="s">
        <v>6</v>
      </c>
      <c r="D6" s="13">
        <v>70</v>
      </c>
      <c r="F6" s="5" t="s">
        <v>7</v>
      </c>
    </row>
    <row r="7" spans="3:9" x14ac:dyDescent="0.25">
      <c r="C7" s="3" t="s">
        <v>8</v>
      </c>
      <c r="D7" s="13">
        <v>70</v>
      </c>
      <c r="F7" s="5" t="s">
        <v>122</v>
      </c>
    </row>
    <row r="8" spans="3:9" x14ac:dyDescent="0.25">
      <c r="C8" s="3" t="s">
        <v>9</v>
      </c>
      <c r="D8" s="13">
        <v>70</v>
      </c>
      <c r="F8" s="5" t="s">
        <v>10</v>
      </c>
    </row>
    <row r="9" spans="3:9" x14ac:dyDescent="0.25">
      <c r="C9" s="3" t="s">
        <v>218</v>
      </c>
      <c r="D9" s="14" t="s">
        <v>12</v>
      </c>
      <c r="F9" s="5" t="s">
        <v>13</v>
      </c>
    </row>
    <row r="10" spans="3:9" x14ac:dyDescent="0.25">
      <c r="C10" s="3" t="s">
        <v>14</v>
      </c>
      <c r="D10" s="13">
        <v>1</v>
      </c>
      <c r="F10" s="5" t="s">
        <v>82</v>
      </c>
    </row>
    <row r="11" spans="3:9" x14ac:dyDescent="0.25">
      <c r="C11" s="3" t="s">
        <v>15</v>
      </c>
      <c r="D11" s="1">
        <f>IF(D9="Male",(140-D6)*D13/(72*D10), 0.85*(140-D6)*D13/(72*D10))</f>
        <v>55.036407212796639</v>
      </c>
      <c r="F11" s="3" t="s">
        <v>16</v>
      </c>
    </row>
    <row r="12" spans="3:9" x14ac:dyDescent="0.25">
      <c r="C12" s="3" t="s">
        <v>17</v>
      </c>
      <c r="D12" s="2">
        <f>IF(D9="Male",9270*D8/(6680+(216*(D8/(D7*2.54/100)^2))),9270*D8/(8780+(244*(D8/(D7*2.54/100)^2))))</f>
        <v>56.608875990305116</v>
      </c>
      <c r="F12" s="3" t="s">
        <v>18</v>
      </c>
    </row>
    <row r="13" spans="3:9" x14ac:dyDescent="0.25">
      <c r="C13" s="3" t="s">
        <v>19</v>
      </c>
      <c r="D13" s="2">
        <f>IF(D12&lt;D8,D12,D8)</f>
        <v>56.608875990305116</v>
      </c>
    </row>
    <row r="14" spans="3:9" x14ac:dyDescent="0.25">
      <c r="C14" s="3" t="s">
        <v>20</v>
      </c>
      <c r="D14" s="13">
        <v>600</v>
      </c>
      <c r="F14" s="3" t="s">
        <v>72</v>
      </c>
    </row>
    <row r="15" spans="3:9" x14ac:dyDescent="0.25">
      <c r="C15" s="3" t="s">
        <v>222</v>
      </c>
      <c r="D15" s="14" t="s">
        <v>70</v>
      </c>
    </row>
    <row r="16" spans="3:9" x14ac:dyDescent="0.25">
      <c r="C16" s="3" t="s">
        <v>23</v>
      </c>
      <c r="D16" s="4">
        <f>IF(D15="Carbonate",8.12*D14/300,8*D14/300)</f>
        <v>16</v>
      </c>
    </row>
    <row r="17" spans="2:17" x14ac:dyDescent="0.25">
      <c r="C17" s="3" t="s">
        <v>24</v>
      </c>
      <c r="D17" s="6">
        <f>D$11</f>
        <v>55.036407212796639</v>
      </c>
      <c r="E17" s="3">
        <v>120</v>
      </c>
      <c r="F17" s="3">
        <v>110</v>
      </c>
      <c r="G17" s="3">
        <v>100</v>
      </c>
      <c r="H17" s="3">
        <v>90</v>
      </c>
      <c r="I17" s="3">
        <v>80</v>
      </c>
      <c r="J17" s="3">
        <v>70</v>
      </c>
      <c r="K17" s="3">
        <v>60</v>
      </c>
      <c r="L17" s="3">
        <v>50</v>
      </c>
      <c r="M17" s="3">
        <v>40</v>
      </c>
      <c r="N17" s="3">
        <v>30</v>
      </c>
      <c r="O17" s="3">
        <v>20</v>
      </c>
      <c r="P17" s="3">
        <v>10</v>
      </c>
      <c r="Q17" s="3">
        <v>5</v>
      </c>
    </row>
    <row r="18" spans="2:17" x14ac:dyDescent="0.25">
      <c r="C18" s="3" t="s">
        <v>25</v>
      </c>
      <c r="D18" s="5">
        <f>0.25*D17*60/1000</f>
        <v>0.82554610819194951</v>
      </c>
      <c r="E18" s="5">
        <f>0.25*E17*60/1000</f>
        <v>1.8</v>
      </c>
      <c r="F18" s="5">
        <f t="shared" ref="F18:Q18" si="0">0.25*F17*60/1000</f>
        <v>1.65</v>
      </c>
      <c r="G18" s="5">
        <f t="shared" si="0"/>
        <v>1.5</v>
      </c>
      <c r="H18" s="5">
        <f t="shared" si="0"/>
        <v>1.35</v>
      </c>
      <c r="I18" s="5">
        <f t="shared" si="0"/>
        <v>1.2</v>
      </c>
      <c r="J18" s="5">
        <f t="shared" si="0"/>
        <v>1.05</v>
      </c>
      <c r="K18" s="5">
        <f t="shared" si="0"/>
        <v>0.9</v>
      </c>
      <c r="L18" s="5">
        <f t="shared" si="0"/>
        <v>0.75</v>
      </c>
      <c r="M18" s="5">
        <f t="shared" si="0"/>
        <v>0.6</v>
      </c>
      <c r="N18" s="5">
        <f t="shared" si="0"/>
        <v>0.45</v>
      </c>
      <c r="O18" s="5">
        <f t="shared" si="0"/>
        <v>0.3</v>
      </c>
      <c r="P18" s="5">
        <f t="shared" si="0"/>
        <v>0.15</v>
      </c>
      <c r="Q18" s="5">
        <f t="shared" si="0"/>
        <v>7.4999999999999997E-2</v>
      </c>
    </row>
    <row r="19" spans="2:17" x14ac:dyDescent="0.25">
      <c r="C19" s="3" t="s">
        <v>26</v>
      </c>
      <c r="D19" s="7">
        <f>D18/(0.7*$D$13)</f>
        <v>2.0833333333333332E-2</v>
      </c>
      <c r="E19" s="5">
        <f>E18/(0.7*$D13)</f>
        <v>4.5424476752885121E-2</v>
      </c>
      <c r="F19" s="5">
        <f t="shared" ref="F19:Q19" si="1">F18/(0.7*$D13)</f>
        <v>4.1639103690144695E-2</v>
      </c>
      <c r="G19" s="5">
        <f t="shared" si="1"/>
        <v>3.785373062740427E-2</v>
      </c>
      <c r="H19" s="5">
        <f t="shared" si="1"/>
        <v>3.4068357564663844E-2</v>
      </c>
      <c r="I19" s="5">
        <f t="shared" si="1"/>
        <v>3.0282984501923415E-2</v>
      </c>
      <c r="J19" s="5">
        <f t="shared" si="1"/>
        <v>2.6497611439182989E-2</v>
      </c>
      <c r="K19" s="5">
        <f t="shared" si="1"/>
        <v>2.271223837644256E-2</v>
      </c>
      <c r="L19" s="5">
        <f t="shared" si="1"/>
        <v>1.8926865313702135E-2</v>
      </c>
      <c r="M19" s="5">
        <f t="shared" si="1"/>
        <v>1.5141492250961707E-2</v>
      </c>
      <c r="N19" s="5">
        <f t="shared" si="1"/>
        <v>1.135611918822128E-2</v>
      </c>
      <c r="O19" s="5">
        <f t="shared" si="1"/>
        <v>7.5707461254808537E-3</v>
      </c>
      <c r="P19" s="5">
        <f t="shared" si="1"/>
        <v>3.7853730627404269E-3</v>
      </c>
      <c r="Q19" s="5">
        <f t="shared" si="1"/>
        <v>1.8926865313702134E-3</v>
      </c>
    </row>
    <row r="20" spans="2:17" x14ac:dyDescent="0.25">
      <c r="C20" s="3" t="s">
        <v>27</v>
      </c>
      <c r="D20" s="1">
        <f>0.693/(D18/($D$13*0.7))</f>
        <v>33.264000000000003</v>
      </c>
      <c r="E20" s="1">
        <f t="shared" ref="E20:O20" si="2">0.693/(E18/($D$13*0.7))</f>
        <v>15.256092079387228</v>
      </c>
      <c r="F20" s="1">
        <f t="shared" si="2"/>
        <v>16.643009541149702</v>
      </c>
      <c r="G20" s="1">
        <f t="shared" si="2"/>
        <v>18.307310495264673</v>
      </c>
      <c r="H20" s="1">
        <f t="shared" si="2"/>
        <v>20.341456105849634</v>
      </c>
      <c r="I20" s="1">
        <f t="shared" si="2"/>
        <v>22.884138119080841</v>
      </c>
      <c r="J20" s="1">
        <f t="shared" si="2"/>
        <v>26.153300707520959</v>
      </c>
      <c r="K20" s="1">
        <f t="shared" si="2"/>
        <v>30.512184158774456</v>
      </c>
      <c r="L20" s="1">
        <f t="shared" si="2"/>
        <v>36.614620990529346</v>
      </c>
      <c r="M20" s="1">
        <f t="shared" si="2"/>
        <v>45.768276238161683</v>
      </c>
      <c r="N20" s="1">
        <f t="shared" si="2"/>
        <v>61.024368317548912</v>
      </c>
      <c r="O20" s="1">
        <f t="shared" si="2"/>
        <v>91.536552476323365</v>
      </c>
      <c r="P20" s="1">
        <f>0.693/(P18/($D$13*0.7))</f>
        <v>183.07310495264673</v>
      </c>
      <c r="Q20" s="1">
        <f>0.693/(Q18/($D$13*0.7))</f>
        <v>366.14620990529346</v>
      </c>
    </row>
    <row r="21" spans="2:17" ht="15.75" thickBot="1" x14ac:dyDescent="0.3">
      <c r="C21" s="3" t="s">
        <v>28</v>
      </c>
      <c r="D21" s="8">
        <f t="shared" ref="D21:P21" si="3">0.693*5/(D$18/($D13*0.7))</f>
        <v>166.32</v>
      </c>
      <c r="E21" s="8">
        <f t="shared" si="3"/>
        <v>76.280460396936135</v>
      </c>
      <c r="F21" s="8">
        <f t="shared" si="3"/>
        <v>83.215047705748518</v>
      </c>
      <c r="G21" s="8">
        <f t="shared" si="3"/>
        <v>91.536552476323365</v>
      </c>
      <c r="H21" s="8">
        <f t="shared" si="3"/>
        <v>101.70728052924818</v>
      </c>
      <c r="I21" s="8">
        <f t="shared" si="3"/>
        <v>114.42069059540421</v>
      </c>
      <c r="J21" s="8">
        <f t="shared" si="3"/>
        <v>130.76650353760479</v>
      </c>
      <c r="K21" s="8">
        <f t="shared" si="3"/>
        <v>152.56092079387227</v>
      </c>
      <c r="L21" s="8">
        <f t="shared" si="3"/>
        <v>183.07310495264673</v>
      </c>
      <c r="M21" s="8">
        <f t="shared" si="3"/>
        <v>228.84138119080842</v>
      </c>
      <c r="N21" s="8">
        <f t="shared" si="3"/>
        <v>305.12184158774454</v>
      </c>
      <c r="O21" s="8">
        <f t="shared" si="3"/>
        <v>457.68276238161684</v>
      </c>
      <c r="P21" s="8">
        <f t="shared" si="3"/>
        <v>915.36552476323368</v>
      </c>
      <c r="Q21" s="8">
        <f>0.693*5/(Q$18/($D13*0.7))</f>
        <v>1830.7310495264674</v>
      </c>
    </row>
    <row r="22" spans="2:17" ht="15.75" thickBot="1" x14ac:dyDescent="0.3">
      <c r="B22" s="10" t="s">
        <v>29</v>
      </c>
      <c r="C22" s="11">
        <v>6</v>
      </c>
    </row>
    <row r="23" spans="2:17" x14ac:dyDescent="0.25">
      <c r="C23" s="3" t="s">
        <v>30</v>
      </c>
      <c r="D23" s="2">
        <f>$D$16*$D$5/(($D$13*0.7)*(1-EXP(-D$18*$C22/($D$13*0.7))))</f>
        <v>2.920834984248434</v>
      </c>
      <c r="E23" s="2">
        <f t="shared" ref="E23:Q23" si="4">$D$16*$D$5/(($D$13*0.7)*(1-EXP(-E$18*$C22/($D$13*0.7))))</f>
        <v>1.4386482074715488</v>
      </c>
      <c r="F23" s="2">
        <f t="shared" si="4"/>
        <v>1.5524789495235007</v>
      </c>
      <c r="G23" s="2">
        <f t="shared" si="4"/>
        <v>1.6892049477050641</v>
      </c>
      <c r="H23" s="2">
        <f t="shared" si="4"/>
        <v>1.8564581093707893</v>
      </c>
      <c r="I23" s="2">
        <f t="shared" si="4"/>
        <v>2.0656862791060595</v>
      </c>
      <c r="J23" s="2">
        <f t="shared" si="4"/>
        <v>2.334878908111397</v>
      </c>
      <c r="K23" s="2">
        <f t="shared" si="4"/>
        <v>2.6940183929790678</v>
      </c>
      <c r="L23" s="2">
        <f t="shared" si="4"/>
        <v>3.1970730210112559</v>
      </c>
      <c r="M23" s="2">
        <f t="shared" si="4"/>
        <v>3.951979333527611</v>
      </c>
      <c r="N23" s="2">
        <f t="shared" si="4"/>
        <v>5.2105892158041955</v>
      </c>
      <c r="O23" s="2">
        <f t="shared" si="4"/>
        <v>7.728458256853652</v>
      </c>
      <c r="P23" s="2">
        <f t="shared" si="4"/>
        <v>15.283364267935527</v>
      </c>
      <c r="Q23" s="2">
        <f t="shared" si="4"/>
        <v>30.394150592150886</v>
      </c>
    </row>
    <row r="24" spans="2:17" x14ac:dyDescent="0.25">
      <c r="C24" s="3" t="s">
        <v>31</v>
      </c>
      <c r="D24" s="2">
        <f>D23*EXP(-D$19*$C22)</f>
        <v>2.5776278265599686</v>
      </c>
      <c r="E24" s="2">
        <f t="shared" ref="E24:Q24" si="5">E23*EXP(-E$19*$C22)</f>
        <v>1.0954410497830835</v>
      </c>
      <c r="F24" s="2">
        <f t="shared" si="5"/>
        <v>1.2092717918350353</v>
      </c>
      <c r="G24" s="2">
        <f t="shared" si="5"/>
        <v>1.3459977900165987</v>
      </c>
      <c r="H24" s="2">
        <f t="shared" si="5"/>
        <v>1.5132509516823238</v>
      </c>
      <c r="I24" s="2">
        <f t="shared" si="5"/>
        <v>1.7224791214175941</v>
      </c>
      <c r="J24" s="2">
        <f t="shared" si="5"/>
        <v>1.9916717504229315</v>
      </c>
      <c r="K24" s="2">
        <f t="shared" si="5"/>
        <v>2.3508112352906028</v>
      </c>
      <c r="L24" s="2">
        <f t="shared" si="5"/>
        <v>2.8538658633227905</v>
      </c>
      <c r="M24" s="2">
        <f t="shared" si="5"/>
        <v>3.6087721758391456</v>
      </c>
      <c r="N24" s="2">
        <f t="shared" si="5"/>
        <v>4.8673820581157301</v>
      </c>
      <c r="O24" s="2">
        <f t="shared" si="5"/>
        <v>7.3852510991651865</v>
      </c>
      <c r="P24" s="2">
        <f t="shared" si="5"/>
        <v>14.940157110247062</v>
      </c>
      <c r="Q24" s="2">
        <f t="shared" si="5"/>
        <v>30.050943434462422</v>
      </c>
    </row>
    <row r="25" spans="2:17" ht="15.75" thickBot="1" x14ac:dyDescent="0.3">
      <c r="C25" s="3" t="s">
        <v>32</v>
      </c>
      <c r="D25" s="2">
        <f>D23*EXP(-(D$18*12/($D$13*0.7)))</f>
        <v>2.2747485729550347</v>
      </c>
      <c r="E25" s="2">
        <f t="shared" ref="E25:Q25" si="6">E23*EXP(-(E$18*12/($D$13*0.7)))</f>
        <v>0.83411016488796152</v>
      </c>
      <c r="F25" s="2">
        <f t="shared" si="6"/>
        <v>0.94193758116768667</v>
      </c>
      <c r="G25" s="2">
        <f t="shared" si="6"/>
        <v>1.0725223444265528</v>
      </c>
      <c r="H25" s="2">
        <f t="shared" si="6"/>
        <v>1.2334931939528579</v>
      </c>
      <c r="I25" s="2">
        <f t="shared" si="6"/>
        <v>1.4362947334885183</v>
      </c>
      <c r="J25" s="2">
        <f t="shared" si="6"/>
        <v>1.698913098941528</v>
      </c>
      <c r="K25" s="2">
        <f t="shared" si="6"/>
        <v>2.0513272954523094</v>
      </c>
      <c r="L25" s="2">
        <f t="shared" si="6"/>
        <v>2.5475021409623477</v>
      </c>
      <c r="M25" s="2">
        <f t="shared" si="6"/>
        <v>3.2953706277320065</v>
      </c>
      <c r="N25" s="2">
        <f t="shared" si="6"/>
        <v>4.546781010448627</v>
      </c>
      <c r="O25" s="2">
        <f t="shared" si="6"/>
        <v>7.057285164133793</v>
      </c>
      <c r="P25" s="2">
        <f t="shared" si="6"/>
        <v>14.604657100737725</v>
      </c>
      <c r="Q25" s="2">
        <f t="shared" si="6"/>
        <v>29.711611731451704</v>
      </c>
    </row>
    <row r="26" spans="2:17" ht="15.75" thickBot="1" x14ac:dyDescent="0.3">
      <c r="B26" s="10" t="s">
        <v>29</v>
      </c>
      <c r="C26" s="11">
        <v>8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7" x14ac:dyDescent="0.25">
      <c r="C27" s="3" t="s">
        <v>30</v>
      </c>
      <c r="D27" s="2">
        <f>$D$16*$D$5/(($D$13*0.7)*(1-EXP(-D$18*$C26/($D$13*0.7))))</f>
        <v>2.2356110856764193</v>
      </c>
      <c r="E27" s="2">
        <f t="shared" ref="E27:Q27" si="7">$D$16*$D$5/(($D$13*0.7)*(1-EXP(-E$18*$C26/($D$13*0.7))))</f>
        <v>1.1264185568816989</v>
      </c>
      <c r="F27" s="2">
        <f t="shared" si="7"/>
        <v>1.2114162615111788</v>
      </c>
      <c r="G27" s="2">
        <f t="shared" si="7"/>
        <v>1.313584817290427</v>
      </c>
      <c r="H27" s="2">
        <f t="shared" si="7"/>
        <v>1.4386482074715488</v>
      </c>
      <c r="I27" s="2">
        <f t="shared" si="7"/>
        <v>1.5951923685098854</v>
      </c>
      <c r="J27" s="2">
        <f t="shared" si="7"/>
        <v>1.7967094420750718</v>
      </c>
      <c r="K27" s="2">
        <f t="shared" si="7"/>
        <v>2.0656862791060595</v>
      </c>
      <c r="L27" s="2">
        <f t="shared" si="7"/>
        <v>2.4425991487720764</v>
      </c>
      <c r="M27" s="2">
        <f t="shared" si="7"/>
        <v>3.0084005109254202</v>
      </c>
      <c r="N27" s="2">
        <f t="shared" si="7"/>
        <v>3.951979333527611</v>
      </c>
      <c r="O27" s="2">
        <f t="shared" si="7"/>
        <v>5.8400023624562944</v>
      </c>
      <c r="P27" s="2">
        <f t="shared" si="7"/>
        <v>11.50580301035968</v>
      </c>
      <c r="Q27" s="2">
        <f t="shared" si="7"/>
        <v>22.838703299566006</v>
      </c>
    </row>
    <row r="28" spans="2:17" x14ac:dyDescent="0.25">
      <c r="C28" s="3" t="s">
        <v>31</v>
      </c>
      <c r="D28" s="2">
        <f t="shared" ref="D28:Q28" si="8">D27*EXP(-D$19*$C26)</f>
        <v>1.8924039279879539</v>
      </c>
      <c r="E28" s="2">
        <f t="shared" si="8"/>
        <v>0.78321139919323357</v>
      </c>
      <c r="F28" s="2">
        <f t="shared" si="8"/>
        <v>0.86820910382271343</v>
      </c>
      <c r="G28" s="2">
        <f t="shared" si="8"/>
        <v>0.97037765960196165</v>
      </c>
      <c r="H28" s="2">
        <f t="shared" si="8"/>
        <v>1.0954410497830833</v>
      </c>
      <c r="I28" s="2">
        <f t="shared" si="8"/>
        <v>1.25198521082142</v>
      </c>
      <c r="J28" s="2">
        <f t="shared" si="8"/>
        <v>1.4535022843866063</v>
      </c>
      <c r="K28" s="2">
        <f t="shared" si="8"/>
        <v>1.7224791214175941</v>
      </c>
      <c r="L28" s="2">
        <f t="shared" si="8"/>
        <v>2.099391991083611</v>
      </c>
      <c r="M28" s="2">
        <f t="shared" si="8"/>
        <v>2.6651933532369547</v>
      </c>
      <c r="N28" s="2">
        <f t="shared" si="8"/>
        <v>3.6087721758391456</v>
      </c>
      <c r="O28" s="2">
        <f t="shared" si="8"/>
        <v>5.496795204767829</v>
      </c>
      <c r="P28" s="2">
        <f t="shared" si="8"/>
        <v>11.162595852671215</v>
      </c>
      <c r="Q28" s="2">
        <f t="shared" si="8"/>
        <v>22.495496141877542</v>
      </c>
    </row>
    <row r="29" spans="2:17" ht="15.75" thickBot="1" x14ac:dyDescent="0.3">
      <c r="C29" s="3" t="s">
        <v>32</v>
      </c>
      <c r="D29" s="2">
        <f>D27*EXP(-(D$18*12/($D$13*0.7)))</f>
        <v>1.741095664167909</v>
      </c>
      <c r="E29" s="2">
        <f t="shared" ref="E29:Q29" si="9">E27*EXP(-(E$18*12/($D$13*0.7)))</f>
        <v>0.65308333429528465</v>
      </c>
      <c r="F29" s="2">
        <f t="shared" si="9"/>
        <v>0.73500417091340942</v>
      </c>
      <c r="G29" s="2">
        <f t="shared" si="9"/>
        <v>0.83403086745483501</v>
      </c>
      <c r="H29" s="2">
        <f t="shared" si="9"/>
        <v>0.95588624566922675</v>
      </c>
      <c r="I29" s="2">
        <f t="shared" si="9"/>
        <v>1.1091550643321031</v>
      </c>
      <c r="J29" s="2">
        <f t="shared" si="9"/>
        <v>1.3073282710846397</v>
      </c>
      <c r="K29" s="2">
        <f t="shared" si="9"/>
        <v>1.5728915063144122</v>
      </c>
      <c r="L29" s="2">
        <f t="shared" si="9"/>
        <v>1.9463198119389358</v>
      </c>
      <c r="M29" s="2">
        <f t="shared" si="9"/>
        <v>2.5085644036777772</v>
      </c>
      <c r="N29" s="2">
        <f t="shared" si="9"/>
        <v>3.4485129882946421</v>
      </c>
      <c r="O29" s="2">
        <f t="shared" si="9"/>
        <v>5.3328310332167144</v>
      </c>
      <c r="P29" s="2">
        <f t="shared" si="9"/>
        <v>10.994850655197892</v>
      </c>
      <c r="Q29" s="2">
        <f t="shared" si="9"/>
        <v>22.325831505940098</v>
      </c>
    </row>
    <row r="30" spans="2:17" ht="15.75" thickBot="1" x14ac:dyDescent="0.3">
      <c r="B30" s="10" t="s">
        <v>29</v>
      </c>
      <c r="C30" s="11">
        <v>12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7" x14ac:dyDescent="0.25">
      <c r="C31" s="3" t="s">
        <v>30</v>
      </c>
      <c r="D31" s="2">
        <f t="shared" ref="D31:Q31" si="10">$D$16*$D$5/(($D$13*0.7)*(1-EXP(-D$18*$C30/($D$13*0.7))))</f>
        <v>1.5515749217107553</v>
      </c>
      <c r="E31" s="2">
        <f t="shared" si="10"/>
        <v>0.81674655260697882</v>
      </c>
      <c r="F31" s="2">
        <f t="shared" si="10"/>
        <v>0.87270398903848689</v>
      </c>
      <c r="G31" s="2">
        <f t="shared" si="10"/>
        <v>0.94010634607332622</v>
      </c>
      <c r="H31" s="2">
        <f t="shared" si="10"/>
        <v>1.0227698146650894</v>
      </c>
      <c r="I31" s="2">
        <f t="shared" si="10"/>
        <v>1.1264185568816989</v>
      </c>
      <c r="J31" s="2">
        <f t="shared" si="10"/>
        <v>1.2600475403633171</v>
      </c>
      <c r="K31" s="2">
        <f t="shared" si="10"/>
        <v>1.4386482074715488</v>
      </c>
      <c r="L31" s="2">
        <f t="shared" si="10"/>
        <v>1.6892049477050641</v>
      </c>
      <c r="M31" s="2">
        <f t="shared" si="10"/>
        <v>2.0656862791060595</v>
      </c>
      <c r="N31" s="2">
        <f t="shared" si="10"/>
        <v>2.6940183929790678</v>
      </c>
      <c r="O31" s="2">
        <f t="shared" si="10"/>
        <v>3.951979333527611</v>
      </c>
      <c r="P31" s="2">
        <f t="shared" si="10"/>
        <v>7.728458256853652</v>
      </c>
      <c r="Q31" s="2">
        <f t="shared" si="10"/>
        <v>15.283364267935527</v>
      </c>
    </row>
    <row r="32" spans="2:17" x14ac:dyDescent="0.25">
      <c r="C32" s="3" t="s">
        <v>31</v>
      </c>
      <c r="D32" s="2">
        <f t="shared" ref="D32:Q32" si="11">D31*EXP(-D$19*$C30)</f>
        <v>1.2083677640222898</v>
      </c>
      <c r="E32" s="2">
        <f t="shared" si="11"/>
        <v>0.47353939491851355</v>
      </c>
      <c r="F32" s="2">
        <f t="shared" si="11"/>
        <v>0.52949683135002146</v>
      </c>
      <c r="G32" s="2">
        <f t="shared" si="11"/>
        <v>0.59689918838486089</v>
      </c>
      <c r="H32" s="2">
        <f t="shared" si="11"/>
        <v>0.6795626569766241</v>
      </c>
      <c r="I32" s="2">
        <f t="shared" si="11"/>
        <v>0.78321139919323357</v>
      </c>
      <c r="J32" s="2">
        <f t="shared" si="11"/>
        <v>0.91684038267485168</v>
      </c>
      <c r="K32" s="2">
        <f t="shared" si="11"/>
        <v>1.0954410497830835</v>
      </c>
      <c r="L32" s="2">
        <f t="shared" si="11"/>
        <v>1.3459977900165987</v>
      </c>
      <c r="M32" s="2">
        <f t="shared" si="11"/>
        <v>1.7224791214175941</v>
      </c>
      <c r="N32" s="2">
        <f t="shared" si="11"/>
        <v>2.3508112352906028</v>
      </c>
      <c r="O32" s="2">
        <f t="shared" si="11"/>
        <v>3.6087721758391456</v>
      </c>
      <c r="P32" s="2">
        <f t="shared" si="11"/>
        <v>7.3852510991651865</v>
      </c>
      <c r="Q32" s="2">
        <f t="shared" si="11"/>
        <v>14.940157110247062</v>
      </c>
    </row>
    <row r="33" spans="2:17" ht="15.75" thickBot="1" x14ac:dyDescent="0.3">
      <c r="C33" s="3" t="s">
        <v>32</v>
      </c>
      <c r="D33" s="2">
        <f>D31*EXP(-(D$18*12/($D$13*0.7)))</f>
        <v>1.2083677640222898</v>
      </c>
      <c r="E33" s="2">
        <f>E31*EXP(-(E$18*12/($D$13*0.7)))</f>
        <v>0.47353939491851343</v>
      </c>
      <c r="F33" s="2">
        <f t="shared" ref="F33:Q33" si="12">F31*EXP(-(F$18*12/($D$13*0.7)))</f>
        <v>0.52949683135002157</v>
      </c>
      <c r="G33" s="2">
        <f t="shared" si="12"/>
        <v>0.59689918838486089</v>
      </c>
      <c r="H33" s="2">
        <f t="shared" si="12"/>
        <v>0.6795626569766241</v>
      </c>
      <c r="I33" s="2">
        <f t="shared" si="12"/>
        <v>0.78321139919323357</v>
      </c>
      <c r="J33" s="2">
        <f t="shared" si="12"/>
        <v>0.91684038267485168</v>
      </c>
      <c r="K33" s="2">
        <f t="shared" si="12"/>
        <v>1.0954410497830833</v>
      </c>
      <c r="L33" s="2">
        <f t="shared" si="12"/>
        <v>1.3459977900165987</v>
      </c>
      <c r="M33" s="2">
        <f t="shared" si="12"/>
        <v>1.7224791214175941</v>
      </c>
      <c r="N33" s="2">
        <f t="shared" si="12"/>
        <v>2.3508112352906023</v>
      </c>
      <c r="O33" s="2">
        <f t="shared" si="12"/>
        <v>3.6087721758391456</v>
      </c>
      <c r="P33" s="2">
        <f t="shared" si="12"/>
        <v>7.3852510991651865</v>
      </c>
      <c r="Q33" s="2">
        <f t="shared" si="12"/>
        <v>14.940157110247062</v>
      </c>
    </row>
    <row r="34" spans="2:17" ht="15.75" thickBot="1" x14ac:dyDescent="0.3">
      <c r="B34" s="10" t="s">
        <v>29</v>
      </c>
      <c r="C34" s="12">
        <v>24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7" x14ac:dyDescent="0.25">
      <c r="C35" s="3" t="s">
        <v>30</v>
      </c>
      <c r="D35" s="2">
        <f t="shared" ref="D35:Q35" si="13">$D$16*$D$5/(($D$13*0.7)*(1-EXP(-D$18*$C34/($D$13*0.7))))</f>
        <v>0.87225896034950878</v>
      </c>
      <c r="E35" s="2">
        <f t="shared" si="13"/>
        <v>0.51699774958775568</v>
      </c>
      <c r="F35" s="2">
        <f t="shared" si="13"/>
        <v>0.54315490435433289</v>
      </c>
      <c r="G35" s="2">
        <f t="shared" si="13"/>
        <v>0.57501415714738513</v>
      </c>
      <c r="H35" s="2">
        <f t="shared" si="13"/>
        <v>0.61448519088709663</v>
      </c>
      <c r="I35" s="2">
        <f t="shared" si="13"/>
        <v>0.66443174566416452</v>
      </c>
      <c r="J35" s="2">
        <f t="shared" si="13"/>
        <v>0.7293530306143402</v>
      </c>
      <c r="K35" s="2">
        <f t="shared" si="13"/>
        <v>0.81674655260697882</v>
      </c>
      <c r="L35" s="2">
        <f t="shared" si="13"/>
        <v>0.94010634607332622</v>
      </c>
      <c r="M35" s="2">
        <f t="shared" si="13"/>
        <v>1.1264185568816989</v>
      </c>
      <c r="N35" s="2">
        <f t="shared" si="13"/>
        <v>1.4386482074715488</v>
      </c>
      <c r="O35" s="2">
        <f t="shared" si="13"/>
        <v>2.0656862791060595</v>
      </c>
      <c r="P35" s="2">
        <f t="shared" si="13"/>
        <v>3.951979333527611</v>
      </c>
      <c r="Q35" s="2">
        <f t="shared" si="13"/>
        <v>7.728458256853652</v>
      </c>
    </row>
    <row r="36" spans="2:17" x14ac:dyDescent="0.25">
      <c r="C36" s="3" t="s">
        <v>31</v>
      </c>
      <c r="D36" s="2">
        <f t="shared" ref="D36:Q36" si="14">D35*EXP(-D$19*$C34)</f>
        <v>0.52905180266104335</v>
      </c>
      <c r="E36" s="2">
        <f t="shared" si="14"/>
        <v>0.17379059189929033</v>
      </c>
      <c r="F36" s="2">
        <f t="shared" si="14"/>
        <v>0.19994774666586751</v>
      </c>
      <c r="G36" s="2">
        <f t="shared" si="14"/>
        <v>0.23180699945891975</v>
      </c>
      <c r="H36" s="2">
        <f t="shared" si="14"/>
        <v>0.27127803319863131</v>
      </c>
      <c r="I36" s="2">
        <f t="shared" si="14"/>
        <v>0.32122458797569914</v>
      </c>
      <c r="J36" s="2">
        <f t="shared" si="14"/>
        <v>0.38614587292587488</v>
      </c>
      <c r="K36" s="2">
        <f t="shared" si="14"/>
        <v>0.47353939491851355</v>
      </c>
      <c r="L36" s="2">
        <f t="shared" si="14"/>
        <v>0.59689918838486089</v>
      </c>
      <c r="M36" s="2">
        <f t="shared" si="14"/>
        <v>0.78321139919323357</v>
      </c>
      <c r="N36" s="2">
        <f t="shared" si="14"/>
        <v>1.0954410497830835</v>
      </c>
      <c r="O36" s="2">
        <f t="shared" si="14"/>
        <v>1.7224791214175941</v>
      </c>
      <c r="P36" s="2">
        <f t="shared" si="14"/>
        <v>3.6087721758391456</v>
      </c>
      <c r="Q36" s="2">
        <f t="shared" si="14"/>
        <v>7.3852510991651865</v>
      </c>
    </row>
    <row r="37" spans="2:17" ht="15.75" thickBot="1" x14ac:dyDescent="0.3">
      <c r="C37" s="3" t="s">
        <v>32</v>
      </c>
      <c r="D37" s="2">
        <f t="shared" ref="D37:Q37" si="15">D35*EXP(-(D$18*12/($D$13*0.7)))</f>
        <v>0.67931596136124694</v>
      </c>
      <c r="E37" s="2">
        <f t="shared" si="15"/>
        <v>0.29974880301922324</v>
      </c>
      <c r="F37" s="2">
        <f t="shared" si="15"/>
        <v>0.32954908468415395</v>
      </c>
      <c r="G37" s="2">
        <f t="shared" si="15"/>
        <v>0.36509218892594114</v>
      </c>
      <c r="H37" s="2">
        <f t="shared" si="15"/>
        <v>0.40828462377799274</v>
      </c>
      <c r="I37" s="2">
        <f t="shared" si="15"/>
        <v>0.46198681121753443</v>
      </c>
      <c r="J37" s="2">
        <f t="shared" si="15"/>
        <v>0.53069450974897669</v>
      </c>
      <c r="K37" s="2">
        <f t="shared" si="15"/>
        <v>0.62190165486456983</v>
      </c>
      <c r="L37" s="2">
        <f t="shared" si="15"/>
        <v>0.74909860163173814</v>
      </c>
      <c r="M37" s="2">
        <f t="shared" si="15"/>
        <v>0.93926772222436039</v>
      </c>
      <c r="N37" s="2">
        <f t="shared" si="15"/>
        <v>1.2553701855075197</v>
      </c>
      <c r="O37" s="2">
        <f t="shared" si="15"/>
        <v>1.886293054421551</v>
      </c>
      <c r="P37" s="2">
        <f t="shared" si="15"/>
        <v>3.7764789233260356</v>
      </c>
      <c r="Q37" s="2">
        <f t="shared" si="15"/>
        <v>7.5549060110818518</v>
      </c>
    </row>
    <row r="38" spans="2:17" ht="15.75" thickBot="1" x14ac:dyDescent="0.3">
      <c r="B38" s="10" t="s">
        <v>29</v>
      </c>
      <c r="C38" s="12">
        <v>48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7" x14ac:dyDescent="0.25">
      <c r="C39" s="3" t="s">
        <v>30</v>
      </c>
      <c r="D39" s="2">
        <f t="shared" ref="D39:Q39" si="16">$D$16*$D$5/(($D$13*0.7)*(1-EXP(-D$18*$C38/($D$13*0.7))))</f>
        <v>0.54294572909398009</v>
      </c>
      <c r="E39" s="2">
        <f t="shared" si="16"/>
        <v>0.38692991329793019</v>
      </c>
      <c r="F39" s="2">
        <f t="shared" si="16"/>
        <v>0.3970073982633992</v>
      </c>
      <c r="G39" s="2">
        <f t="shared" si="16"/>
        <v>0.40980740057769316</v>
      </c>
      <c r="H39" s="2">
        <f t="shared" si="16"/>
        <v>0.42629005083079247</v>
      </c>
      <c r="I39" s="2">
        <f t="shared" si="16"/>
        <v>0.44789398655417345</v>
      </c>
      <c r="J39" s="2">
        <f t="shared" si="16"/>
        <v>0.47687706512133299</v>
      </c>
      <c r="K39" s="2">
        <f t="shared" si="16"/>
        <v>0.51699774958775568</v>
      </c>
      <c r="L39" s="2">
        <f t="shared" si="16"/>
        <v>0.57501415714738513</v>
      </c>
      <c r="M39" s="2">
        <f t="shared" si="16"/>
        <v>0.66443174566416452</v>
      </c>
      <c r="N39" s="2">
        <f t="shared" si="16"/>
        <v>0.81674655260697882</v>
      </c>
      <c r="O39" s="2">
        <f t="shared" si="16"/>
        <v>1.1264185568816989</v>
      </c>
      <c r="P39" s="2">
        <f t="shared" si="16"/>
        <v>2.0656862791060595</v>
      </c>
      <c r="Q39" s="2">
        <f t="shared" si="16"/>
        <v>3.951979333527611</v>
      </c>
    </row>
    <row r="40" spans="2:17" x14ac:dyDescent="0.25">
      <c r="C40" s="3" t="s">
        <v>31</v>
      </c>
      <c r="D40" s="2">
        <f t="shared" ref="D40:Q40" si="17">D39*EXP(-D$19*$C38)</f>
        <v>0.19973857140551471</v>
      </c>
      <c r="E40" s="2">
        <f t="shared" si="17"/>
        <v>4.3722755609464876E-2</v>
      </c>
      <c r="F40" s="2">
        <f t="shared" si="17"/>
        <v>5.3800240574933884E-2</v>
      </c>
      <c r="G40" s="2">
        <f t="shared" si="17"/>
        <v>6.660024288922782E-2</v>
      </c>
      <c r="H40" s="2">
        <f t="shared" si="17"/>
        <v>8.3082893142327155E-2</v>
      </c>
      <c r="I40" s="2">
        <f t="shared" si="17"/>
        <v>0.1046868288657081</v>
      </c>
      <c r="J40" s="2">
        <f t="shared" si="17"/>
        <v>0.13366990743286764</v>
      </c>
      <c r="K40" s="2">
        <f t="shared" si="17"/>
        <v>0.17379059189929033</v>
      </c>
      <c r="L40" s="2">
        <f t="shared" si="17"/>
        <v>0.23180699945891975</v>
      </c>
      <c r="M40" s="2">
        <f t="shared" si="17"/>
        <v>0.32122458797569914</v>
      </c>
      <c r="N40" s="2">
        <f t="shared" si="17"/>
        <v>0.47353939491851355</v>
      </c>
      <c r="O40" s="2">
        <f t="shared" si="17"/>
        <v>0.78321139919323357</v>
      </c>
      <c r="P40" s="2">
        <f t="shared" si="17"/>
        <v>1.7224791214175941</v>
      </c>
      <c r="Q40" s="2">
        <f t="shared" si="17"/>
        <v>3.6087721758391456</v>
      </c>
    </row>
    <row r="41" spans="2:17" ht="15.75" thickBot="1" x14ac:dyDescent="0.3">
      <c r="C41" s="3" t="s">
        <v>32</v>
      </c>
      <c r="D41" s="2">
        <f t="shared" ref="D41:Q41" si="18">D39*EXP(-(D$18*12/($D$13*0.7)))</f>
        <v>0.42284655898366652</v>
      </c>
      <c r="E41" s="2">
        <f t="shared" si="18"/>
        <v>0.22433710486335406</v>
      </c>
      <c r="F41" s="2">
        <f t="shared" si="18"/>
        <v>0.24087681738981409</v>
      </c>
      <c r="G41" s="2">
        <f t="shared" si="18"/>
        <v>0.26019790826925793</v>
      </c>
      <c r="H41" s="2">
        <f t="shared" si="18"/>
        <v>0.28324144439101778</v>
      </c>
      <c r="I41" s="2">
        <f t="shared" si="18"/>
        <v>0.31142568963924794</v>
      </c>
      <c r="J41" s="2">
        <f t="shared" si="18"/>
        <v>0.34698702776614032</v>
      </c>
      <c r="K41" s="2">
        <f t="shared" si="18"/>
        <v>0.39366160163592523</v>
      </c>
      <c r="L41" s="2">
        <f t="shared" si="18"/>
        <v>0.45818465414758702</v>
      </c>
      <c r="M41" s="2">
        <f t="shared" si="18"/>
        <v>0.55403853968030703</v>
      </c>
      <c r="N41" s="2">
        <f t="shared" si="18"/>
        <v>0.71269631167223857</v>
      </c>
      <c r="O41" s="2">
        <f t="shared" si="18"/>
        <v>1.0285954463215967</v>
      </c>
      <c r="P41" s="2">
        <f t="shared" si="18"/>
        <v>1.9739528061459974</v>
      </c>
      <c r="Q41" s="2">
        <f t="shared" si="18"/>
        <v>3.8632326694734682</v>
      </c>
    </row>
    <row r="42" spans="2:17" ht="15.75" thickBot="1" x14ac:dyDescent="0.3">
      <c r="B42" s="10" t="s">
        <v>29</v>
      </c>
      <c r="C42" s="12">
        <v>72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7" x14ac:dyDescent="0.25">
      <c r="C43" s="3" t="s">
        <v>30</v>
      </c>
      <c r="D43" s="2">
        <f t="shared" ref="D43:Q43" si="19">$D$16*$D$5/(($D$13*0.7)*(1-EXP(-D$18*$C42/($D$13*0.7))))</f>
        <v>0.44178205933961728</v>
      </c>
      <c r="E43" s="2">
        <f t="shared" si="19"/>
        <v>0.35675865706543974</v>
      </c>
      <c r="F43" s="2">
        <f t="shared" si="19"/>
        <v>0.36122733385147376</v>
      </c>
      <c r="G43" s="2">
        <f t="shared" si="19"/>
        <v>0.36726896563184408</v>
      </c>
      <c r="H43" s="2">
        <f t="shared" si="19"/>
        <v>0.37551735702257349</v>
      </c>
      <c r="I43" s="2">
        <f t="shared" si="19"/>
        <v>0.38692991329793025</v>
      </c>
      <c r="J43" s="2">
        <f t="shared" si="19"/>
        <v>0.40301562953091613</v>
      </c>
      <c r="K43" s="2">
        <f t="shared" si="19"/>
        <v>0.42629005083079258</v>
      </c>
      <c r="L43" s="2">
        <f t="shared" si="19"/>
        <v>0.46127511072139021</v>
      </c>
      <c r="M43" s="2">
        <f t="shared" si="19"/>
        <v>0.51699774958775568</v>
      </c>
      <c r="N43" s="2">
        <f t="shared" si="19"/>
        <v>0.61448519088709663</v>
      </c>
      <c r="O43" s="2">
        <f t="shared" si="19"/>
        <v>0.81674655260697915</v>
      </c>
      <c r="P43" s="2">
        <f t="shared" si="19"/>
        <v>1.4386482074715494</v>
      </c>
      <c r="Q43" s="2">
        <f t="shared" si="19"/>
        <v>2.6940183929790704</v>
      </c>
    </row>
    <row r="44" spans="2:17" x14ac:dyDescent="0.25">
      <c r="C44" s="3" t="s">
        <v>31</v>
      </c>
      <c r="D44" s="2">
        <f t="shared" ref="D44:Q44" si="20">D43*EXP(-D$19*$C42)</f>
        <v>9.857490165115193E-2</v>
      </c>
      <c r="E44" s="2">
        <f t="shared" si="20"/>
        <v>1.3551499376974415E-2</v>
      </c>
      <c r="F44" s="2">
        <f t="shared" si="20"/>
        <v>1.8020176163008415E-2</v>
      </c>
      <c r="G44" s="2">
        <f t="shared" si="20"/>
        <v>2.4061807943378741E-2</v>
      </c>
      <c r="H44" s="2">
        <f t="shared" si="20"/>
        <v>3.2310199334108121E-2</v>
      </c>
      <c r="I44" s="2">
        <f t="shared" si="20"/>
        <v>4.3722755609464863E-2</v>
      </c>
      <c r="J44" s="2">
        <f t="shared" si="20"/>
        <v>5.9808471842450764E-2</v>
      </c>
      <c r="K44" s="2">
        <f t="shared" si="20"/>
        <v>8.3082893142327183E-2</v>
      </c>
      <c r="L44" s="2">
        <f t="shared" si="20"/>
        <v>0.11806795303292487</v>
      </c>
      <c r="M44" s="2">
        <f t="shared" si="20"/>
        <v>0.1737905918992903</v>
      </c>
      <c r="N44" s="2">
        <f t="shared" si="20"/>
        <v>0.27127803319863131</v>
      </c>
      <c r="O44" s="2">
        <f t="shared" si="20"/>
        <v>0.47353939491851366</v>
      </c>
      <c r="P44" s="2">
        <f t="shared" si="20"/>
        <v>1.095441049783084</v>
      </c>
      <c r="Q44" s="2">
        <f t="shared" si="20"/>
        <v>2.3508112352906045</v>
      </c>
    </row>
    <row r="45" spans="2:17" ht="15.75" thickBot="1" x14ac:dyDescent="0.3">
      <c r="C45" s="3" t="s">
        <v>32</v>
      </c>
      <c r="D45" s="2">
        <f t="shared" ref="D45:Q45" si="21">D43*EXP(-(D$18*12/($D$13*0.7)))</f>
        <v>0.34406021376059182</v>
      </c>
      <c r="E45" s="2">
        <f t="shared" si="21"/>
        <v>0.20684418937486956</v>
      </c>
      <c r="F45" s="2">
        <f t="shared" si="21"/>
        <v>0.21916793216690181</v>
      </c>
      <c r="G45" s="2">
        <f t="shared" si="21"/>
        <v>0.23318909442559621</v>
      </c>
      <c r="H45" s="2">
        <f t="shared" si="21"/>
        <v>0.24950635931963039</v>
      </c>
      <c r="I45" s="2">
        <f t="shared" si="21"/>
        <v>0.26903668883325743</v>
      </c>
      <c r="J45" s="2">
        <f t="shared" si="21"/>
        <v>0.29324370086586649</v>
      </c>
      <c r="K45" s="2">
        <f t="shared" si="21"/>
        <v>0.32459333586136796</v>
      </c>
      <c r="L45" s="2">
        <f t="shared" si="21"/>
        <v>0.36755473660207288</v>
      </c>
      <c r="M45" s="2">
        <f t="shared" si="21"/>
        <v>0.43110022973583806</v>
      </c>
      <c r="N45" s="2">
        <f t="shared" si="21"/>
        <v>0.53620223767651953</v>
      </c>
      <c r="O45" s="2">
        <f t="shared" si="21"/>
        <v>0.74581671233833557</v>
      </c>
      <c r="P45" s="2">
        <f t="shared" si="21"/>
        <v>1.3747603858918636</v>
      </c>
      <c r="Q45" s="2">
        <f t="shared" si="21"/>
        <v>2.6335208232551963</v>
      </c>
    </row>
    <row r="46" spans="2:17" ht="15.75" thickBot="1" x14ac:dyDescent="0.3">
      <c r="B46" s="10" t="s">
        <v>29</v>
      </c>
      <c r="C46" s="12">
        <v>96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7" x14ac:dyDescent="0.25">
      <c r="C47" s="3" t="s">
        <v>30</v>
      </c>
      <c r="D47" s="2">
        <f t="shared" ref="D47:Q47" si="22">$D$16*$D$5/(($D$13*0.7)*(1-EXP(-D$18*$C46/($D$13*0.7))))</f>
        <v>0.39692513298467674</v>
      </c>
      <c r="E47" s="2">
        <f t="shared" si="22"/>
        <v>0.34764618592654661</v>
      </c>
      <c r="F47" s="2">
        <f t="shared" si="22"/>
        <v>0.34962778066943212</v>
      </c>
      <c r="G47" s="2">
        <f t="shared" si="22"/>
        <v>0.35251765556508496</v>
      </c>
      <c r="H47" s="2">
        <f t="shared" si="22"/>
        <v>0.35675865706543974</v>
      </c>
      <c r="I47" s="2">
        <f t="shared" si="22"/>
        <v>0.36304015194403061</v>
      </c>
      <c r="J47" s="2">
        <f t="shared" si="22"/>
        <v>0.3724721363982324</v>
      </c>
      <c r="K47" s="2">
        <f t="shared" si="22"/>
        <v>0.38692991329793019</v>
      </c>
      <c r="L47" s="2">
        <f t="shared" si="22"/>
        <v>0.40980740057769316</v>
      </c>
      <c r="M47" s="2">
        <f t="shared" si="22"/>
        <v>0.44789398655417345</v>
      </c>
      <c r="N47" s="2">
        <f t="shared" si="22"/>
        <v>0.51699774958775568</v>
      </c>
      <c r="O47" s="2">
        <f t="shared" si="22"/>
        <v>0.66443174566416452</v>
      </c>
      <c r="P47" s="2">
        <f t="shared" si="22"/>
        <v>1.1264185568816989</v>
      </c>
      <c r="Q47" s="2">
        <f t="shared" si="22"/>
        <v>2.0656862791060595</v>
      </c>
    </row>
    <row r="48" spans="2:17" x14ac:dyDescent="0.25">
      <c r="C48" s="3" t="s">
        <v>31</v>
      </c>
      <c r="D48" s="2">
        <f t="shared" ref="D48:Q48" si="23">D47*EXP(-D$19*$C46)</f>
        <v>5.371797529621139E-2</v>
      </c>
      <c r="E48" s="2">
        <f t="shared" si="23"/>
        <v>4.4390282380812737E-3</v>
      </c>
      <c r="F48" s="2">
        <f t="shared" si="23"/>
        <v>6.4206229809667557E-3</v>
      </c>
      <c r="G48" s="2">
        <f t="shared" si="23"/>
        <v>9.310497876619651E-3</v>
      </c>
      <c r="H48" s="2">
        <f t="shared" si="23"/>
        <v>1.355149937697441E-2</v>
      </c>
      <c r="I48" s="2">
        <f t="shared" si="23"/>
        <v>1.9832994255565218E-2</v>
      </c>
      <c r="J48" s="2">
        <f t="shared" si="23"/>
        <v>2.9264978709767041E-2</v>
      </c>
      <c r="K48" s="2">
        <f t="shared" si="23"/>
        <v>4.3722755609464876E-2</v>
      </c>
      <c r="L48" s="2">
        <f t="shared" si="23"/>
        <v>6.660024288922782E-2</v>
      </c>
      <c r="M48" s="2">
        <f t="shared" si="23"/>
        <v>0.1046868288657081</v>
      </c>
      <c r="N48" s="2">
        <f t="shared" si="23"/>
        <v>0.17379059189929033</v>
      </c>
      <c r="O48" s="2">
        <f t="shared" si="23"/>
        <v>0.32122458797569914</v>
      </c>
      <c r="P48" s="2">
        <f t="shared" si="23"/>
        <v>0.78321139919323357</v>
      </c>
      <c r="Q48" s="2">
        <f t="shared" si="23"/>
        <v>1.7224791214175941</v>
      </c>
    </row>
    <row r="49" spans="2:17" ht="15.75" thickBot="1" x14ac:dyDescent="0.3">
      <c r="C49" s="3" t="s">
        <v>32</v>
      </c>
      <c r="D49" s="2">
        <f t="shared" ref="D49:Q49" si="24">D47*EXP(-(D$18*12/($D$13*0.7)))</f>
        <v>0.30912560438918779</v>
      </c>
      <c r="E49" s="2">
        <f t="shared" si="24"/>
        <v>0.20156089303826374</v>
      </c>
      <c r="F49" s="2">
        <f t="shared" si="24"/>
        <v>0.21213012011136848</v>
      </c>
      <c r="G49" s="2">
        <f t="shared" si="24"/>
        <v>0.22382308488503816</v>
      </c>
      <c r="H49" s="2">
        <f t="shared" si="24"/>
        <v>0.23704244827971435</v>
      </c>
      <c r="I49" s="2">
        <f t="shared" si="24"/>
        <v>0.25242587103194408</v>
      </c>
      <c r="J49" s="2">
        <f t="shared" si="24"/>
        <v>0.27101953309841703</v>
      </c>
      <c r="K49" s="2">
        <f t="shared" si="24"/>
        <v>0.29462304141781964</v>
      </c>
      <c r="L49" s="2">
        <f t="shared" si="24"/>
        <v>0.32654406811880327</v>
      </c>
      <c r="M49" s="2">
        <f t="shared" si="24"/>
        <v>0.37347783555106118</v>
      </c>
      <c r="N49" s="2">
        <f t="shared" si="24"/>
        <v>0.45113430610504995</v>
      </c>
      <c r="O49" s="2">
        <f t="shared" si="24"/>
        <v>0.60672958893151974</v>
      </c>
      <c r="P49" s="2">
        <f t="shared" si="24"/>
        <v>1.0763963016754841</v>
      </c>
      <c r="Q49" s="2">
        <f t="shared" si="24"/>
        <v>2.0192986968892668</v>
      </c>
    </row>
    <row r="50" spans="2:17" ht="15.75" thickBot="1" x14ac:dyDescent="0.3">
      <c r="B50" s="10" t="s">
        <v>29</v>
      </c>
      <c r="C50" s="12">
        <v>120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7" x14ac:dyDescent="0.25">
      <c r="C51" s="3" t="s">
        <v>30</v>
      </c>
      <c r="D51" s="2">
        <f t="shared" ref="D51:Q51" si="25">$D$16*$D$5/(($D$13*0.7)*(1-EXP(-D$18*$C50/($D$13*0.7))))</f>
        <v>0.3738986258792405</v>
      </c>
      <c r="E51" s="2">
        <f t="shared" si="25"/>
        <v>0.34468664931191867</v>
      </c>
      <c r="F51" s="2">
        <f t="shared" si="25"/>
        <v>0.34554312250745944</v>
      </c>
      <c r="G51" s="2">
        <f t="shared" si="25"/>
        <v>0.34690071837889891</v>
      </c>
      <c r="H51" s="2">
        <f t="shared" si="25"/>
        <v>0.34906067573106941</v>
      </c>
      <c r="I51" s="2">
        <f t="shared" si="25"/>
        <v>0.35251765556508496</v>
      </c>
      <c r="J51" s="2">
        <f t="shared" si="25"/>
        <v>0.35810339085343912</v>
      </c>
      <c r="K51" s="2">
        <f t="shared" si="25"/>
        <v>0.36726896563184408</v>
      </c>
      <c r="L51" s="2">
        <f t="shared" si="25"/>
        <v>0.38269595349319152</v>
      </c>
      <c r="M51" s="2">
        <f t="shared" si="25"/>
        <v>0.40980740057769316</v>
      </c>
      <c r="N51" s="2">
        <f t="shared" si="25"/>
        <v>0.46127511072139021</v>
      </c>
      <c r="O51" s="2">
        <f t="shared" si="25"/>
        <v>0.57501415714738513</v>
      </c>
      <c r="P51" s="2">
        <f t="shared" si="25"/>
        <v>0.94010634607332622</v>
      </c>
      <c r="Q51" s="2">
        <f t="shared" si="25"/>
        <v>1.6892049477050641</v>
      </c>
    </row>
    <row r="52" spans="2:17" x14ac:dyDescent="0.25">
      <c r="C52" s="3" t="s">
        <v>31</v>
      </c>
      <c r="D52" s="2">
        <f t="shared" ref="D52:Q52" si="26">D51*EXP(-D$19*$C50)</f>
        <v>3.0691468190775107E-2</v>
      </c>
      <c r="E52" s="2">
        <f t="shared" si="26"/>
        <v>1.4794916234533051E-3</v>
      </c>
      <c r="F52" s="2">
        <f t="shared" si="26"/>
        <v>2.3359648189940946E-3</v>
      </c>
      <c r="G52" s="2">
        <f t="shared" si="26"/>
        <v>3.693560690433612E-3</v>
      </c>
      <c r="H52" s="2">
        <f t="shared" si="26"/>
        <v>5.8535180426040915E-3</v>
      </c>
      <c r="I52" s="2">
        <f t="shared" si="26"/>
        <v>9.310497876619651E-3</v>
      </c>
      <c r="J52" s="2">
        <f t="shared" si="26"/>
        <v>1.4896233164973759E-2</v>
      </c>
      <c r="K52" s="2">
        <f t="shared" si="26"/>
        <v>2.4061807943378741E-2</v>
      </c>
      <c r="L52" s="2">
        <f t="shared" si="26"/>
        <v>3.9488795804726161E-2</v>
      </c>
      <c r="M52" s="2">
        <f t="shared" si="26"/>
        <v>6.660024288922782E-2</v>
      </c>
      <c r="N52" s="2">
        <f t="shared" si="26"/>
        <v>0.11806795303292487</v>
      </c>
      <c r="O52" s="2">
        <f t="shared" si="26"/>
        <v>0.23180699945891975</v>
      </c>
      <c r="P52" s="2">
        <f t="shared" si="26"/>
        <v>0.59689918838486089</v>
      </c>
      <c r="Q52" s="2">
        <f t="shared" si="26"/>
        <v>1.3459977900165987</v>
      </c>
    </row>
    <row r="53" spans="2:17" x14ac:dyDescent="0.25">
      <c r="C53" s="3" t="s">
        <v>32</v>
      </c>
      <c r="D53" s="2">
        <f t="shared" ref="D53:Q53" si="27">D51*EXP(-(D$18*12/($D$13*0.7)))</f>
        <v>0.29119254262407473</v>
      </c>
      <c r="E53" s="2">
        <f t="shared" si="27"/>
        <v>0.19984499087344068</v>
      </c>
      <c r="F53" s="2">
        <f t="shared" si="27"/>
        <v>0.20965183012864999</v>
      </c>
      <c r="G53" s="2">
        <f t="shared" si="27"/>
        <v>0.22025673809709539</v>
      </c>
      <c r="H53" s="2">
        <f t="shared" si="27"/>
        <v>0.2319276506254111</v>
      </c>
      <c r="I53" s="2">
        <f t="shared" si="27"/>
        <v>0.24510946181477486</v>
      </c>
      <c r="J53" s="2">
        <f t="shared" si="27"/>
        <v>0.26056449410834259</v>
      </c>
      <c r="K53" s="2">
        <f t="shared" si="27"/>
        <v>0.27965245372361186</v>
      </c>
      <c r="L53" s="2">
        <f t="shared" si="27"/>
        <v>0.30494103652132382</v>
      </c>
      <c r="M53" s="2">
        <f t="shared" si="27"/>
        <v>0.34171921382126313</v>
      </c>
      <c r="N53" s="2">
        <f t="shared" si="27"/>
        <v>0.40251050834313518</v>
      </c>
      <c r="O53" s="2">
        <f t="shared" si="27"/>
        <v>0.52507741460652135</v>
      </c>
      <c r="P53" s="2">
        <f t="shared" si="27"/>
        <v>0.89835788651807336</v>
      </c>
      <c r="Q53" s="2">
        <f t="shared" si="27"/>
        <v>1.6512717270678086</v>
      </c>
    </row>
    <row r="54" spans="2:17" x14ac:dyDescent="0.25">
      <c r="H54" s="3" t="s">
        <v>33</v>
      </c>
    </row>
    <row r="55" spans="2:17" x14ac:dyDescent="0.25">
      <c r="H55" s="3"/>
    </row>
    <row r="56" spans="2:17" x14ac:dyDescent="0.25">
      <c r="H56" s="3"/>
    </row>
    <row r="57" spans="2:17" x14ac:dyDescent="0.25">
      <c r="E57" s="5" t="s">
        <v>34</v>
      </c>
      <c r="H57" s="3"/>
    </row>
    <row r="58" spans="2:17" x14ac:dyDescent="0.25">
      <c r="E58" s="5" t="s">
        <v>35</v>
      </c>
      <c r="H58" s="3"/>
    </row>
    <row r="59" spans="2:17" x14ac:dyDescent="0.25">
      <c r="E59" s="5" t="s">
        <v>36</v>
      </c>
      <c r="H59" s="3"/>
    </row>
    <row r="60" spans="2:17" x14ac:dyDescent="0.25">
      <c r="C60" s="3" t="s">
        <v>37</v>
      </c>
    </row>
    <row r="61" spans="2:17" x14ac:dyDescent="0.25">
      <c r="C61" s="3" t="s">
        <v>38</v>
      </c>
      <c r="D61" s="6">
        <f>D17</f>
        <v>55.036407212796639</v>
      </c>
      <c r="E61" s="3">
        <v>120</v>
      </c>
      <c r="F61" s="3">
        <v>110</v>
      </c>
      <c r="G61" s="3">
        <v>100</v>
      </c>
      <c r="H61" s="3">
        <v>90</v>
      </c>
      <c r="I61" s="3">
        <v>80</v>
      </c>
      <c r="J61" s="3">
        <v>70</v>
      </c>
      <c r="K61" s="3">
        <v>60</v>
      </c>
      <c r="L61" s="3">
        <v>50</v>
      </c>
      <c r="M61" s="3">
        <v>40</v>
      </c>
      <c r="N61" s="3">
        <v>30</v>
      </c>
      <c r="O61" s="3">
        <v>20</v>
      </c>
      <c r="P61" s="3">
        <v>10</v>
      </c>
      <c r="Q61" s="3">
        <v>5</v>
      </c>
    </row>
    <row r="62" spans="2:17" x14ac:dyDescent="0.25">
      <c r="C62" s="3" t="s">
        <v>25</v>
      </c>
      <c r="D62" s="9">
        <f t="shared" ref="D62:Q62" si="28">0.25*D17*60/1000</f>
        <v>0.82554610819194951</v>
      </c>
      <c r="E62" s="5">
        <f t="shared" si="28"/>
        <v>1.8</v>
      </c>
      <c r="F62" s="5">
        <f t="shared" si="28"/>
        <v>1.65</v>
      </c>
      <c r="G62" s="5">
        <f t="shared" si="28"/>
        <v>1.5</v>
      </c>
      <c r="H62" s="5">
        <f t="shared" si="28"/>
        <v>1.35</v>
      </c>
      <c r="I62" s="5">
        <f t="shared" si="28"/>
        <v>1.2</v>
      </c>
      <c r="J62" s="5">
        <f t="shared" si="28"/>
        <v>1.05</v>
      </c>
      <c r="K62" s="5">
        <f t="shared" si="28"/>
        <v>0.9</v>
      </c>
      <c r="L62" s="5">
        <f t="shared" si="28"/>
        <v>0.75</v>
      </c>
      <c r="M62" s="5">
        <f t="shared" si="28"/>
        <v>0.6</v>
      </c>
      <c r="N62" s="5">
        <f t="shared" si="28"/>
        <v>0.45</v>
      </c>
      <c r="O62" s="5">
        <f t="shared" si="28"/>
        <v>0.3</v>
      </c>
      <c r="P62" s="5">
        <f t="shared" si="28"/>
        <v>0.15</v>
      </c>
      <c r="Q62" s="5">
        <f t="shared" si="28"/>
        <v>7.4999999999999997E-2</v>
      </c>
    </row>
    <row r="63" spans="2:17" x14ac:dyDescent="0.25">
      <c r="C63" s="3" t="s">
        <v>39</v>
      </c>
      <c r="D63" s="1">
        <f>0.693/(D62/($D$13*0.7))</f>
        <v>33.264000000000003</v>
      </c>
      <c r="E63" s="1">
        <f>0.693/(E62/($D$13*0.7))</f>
        <v>15.256092079387228</v>
      </c>
      <c r="F63" s="1">
        <f>0.693/(F62/($D$13*0.7))</f>
        <v>16.643009541149702</v>
      </c>
      <c r="G63" s="1">
        <f t="shared" ref="G63:Q63" si="29">0.693/(G62/($D$13*0.7))</f>
        <v>18.307310495264673</v>
      </c>
      <c r="H63" s="1">
        <f t="shared" si="29"/>
        <v>20.341456105849634</v>
      </c>
      <c r="I63" s="1">
        <f t="shared" si="29"/>
        <v>22.884138119080841</v>
      </c>
      <c r="J63" s="1">
        <f t="shared" si="29"/>
        <v>26.153300707520959</v>
      </c>
      <c r="K63" s="1">
        <f t="shared" si="29"/>
        <v>30.512184158774456</v>
      </c>
      <c r="L63" s="1">
        <f t="shared" si="29"/>
        <v>36.614620990529346</v>
      </c>
      <c r="M63" s="1">
        <f t="shared" si="29"/>
        <v>45.768276238161683</v>
      </c>
      <c r="N63" s="1">
        <f t="shared" si="29"/>
        <v>61.024368317548912</v>
      </c>
      <c r="O63" s="1">
        <f t="shared" si="29"/>
        <v>91.536552476323365</v>
      </c>
      <c r="P63" s="1">
        <f t="shared" si="29"/>
        <v>183.07310495264673</v>
      </c>
      <c r="Q63" s="1">
        <f t="shared" si="29"/>
        <v>366.14620990529346</v>
      </c>
    </row>
    <row r="64" spans="2:17" x14ac:dyDescent="0.25">
      <c r="C64" s="3" t="s">
        <v>40</v>
      </c>
      <c r="D64" s="8">
        <f>D63*5/$C65</f>
        <v>20.790000000000003</v>
      </c>
      <c r="E64" s="8">
        <f t="shared" ref="E64:P64" si="30">E63*5/$C65</f>
        <v>9.5350575496170169</v>
      </c>
      <c r="F64" s="8">
        <f t="shared" si="30"/>
        <v>10.401880963218563</v>
      </c>
      <c r="G64" s="8">
        <f t="shared" si="30"/>
        <v>11.442069059540421</v>
      </c>
      <c r="H64" s="8">
        <f t="shared" si="30"/>
        <v>12.713410066156021</v>
      </c>
      <c r="I64" s="8">
        <f t="shared" si="30"/>
        <v>14.302586324425526</v>
      </c>
      <c r="J64" s="8">
        <f t="shared" si="30"/>
        <v>16.345812942200599</v>
      </c>
      <c r="K64" s="8">
        <f t="shared" si="30"/>
        <v>19.070115099234034</v>
      </c>
      <c r="L64" s="8">
        <f t="shared" si="30"/>
        <v>22.884138119080841</v>
      </c>
      <c r="M64" s="8">
        <f t="shared" si="30"/>
        <v>28.605172648851052</v>
      </c>
      <c r="N64" s="8">
        <f t="shared" si="30"/>
        <v>38.140230198468068</v>
      </c>
      <c r="O64" s="8">
        <f t="shared" si="30"/>
        <v>57.210345297702105</v>
      </c>
      <c r="P64" s="8">
        <f t="shared" si="30"/>
        <v>114.42069059540421</v>
      </c>
      <c r="Q64" s="8">
        <f>Q63*5/$C65</f>
        <v>228.84138119080842</v>
      </c>
    </row>
    <row r="65" spans="2:17" x14ac:dyDescent="0.25">
      <c r="B65" s="3" t="s">
        <v>41</v>
      </c>
      <c r="C65" s="13">
        <v>8</v>
      </c>
    </row>
    <row r="66" spans="2:17" x14ac:dyDescent="0.25">
      <c r="B66" s="3" t="s">
        <v>42</v>
      </c>
      <c r="C66" s="3" t="s">
        <v>30</v>
      </c>
      <c r="D66" s="2">
        <f>$D$16*$D$5/($D$13*0.7)</f>
        <v>0.34320715768846538</v>
      </c>
      <c r="E66" s="2">
        <f>$D$16*$D$5/($D$13*0.7)</f>
        <v>0.34320715768846538</v>
      </c>
      <c r="F66" s="2">
        <f t="shared" ref="F66:Q66" si="31">$D$16*$D$5/($D$13*0.7)</f>
        <v>0.34320715768846538</v>
      </c>
      <c r="G66" s="2">
        <f t="shared" si="31"/>
        <v>0.34320715768846538</v>
      </c>
      <c r="H66" s="2">
        <f t="shared" si="31"/>
        <v>0.34320715768846538</v>
      </c>
      <c r="I66" s="2">
        <f>$D$16*$D$5/($D$13*0.7)</f>
        <v>0.34320715768846538</v>
      </c>
      <c r="J66" s="2">
        <f t="shared" si="31"/>
        <v>0.34320715768846538</v>
      </c>
      <c r="K66" s="2">
        <f t="shared" si="31"/>
        <v>0.34320715768846538</v>
      </c>
      <c r="L66" s="2">
        <f t="shared" si="31"/>
        <v>0.34320715768846538</v>
      </c>
      <c r="M66" s="2">
        <f t="shared" si="31"/>
        <v>0.34320715768846538</v>
      </c>
      <c r="N66" s="2">
        <f t="shared" si="31"/>
        <v>0.34320715768846538</v>
      </c>
      <c r="O66" s="2">
        <f t="shared" si="31"/>
        <v>0.34320715768846538</v>
      </c>
      <c r="P66" s="2">
        <f t="shared" si="31"/>
        <v>0.34320715768846538</v>
      </c>
      <c r="Q66" s="2">
        <f t="shared" si="31"/>
        <v>0.34320715768846538</v>
      </c>
    </row>
    <row r="67" spans="2:17" x14ac:dyDescent="0.25">
      <c r="B67" s="3" t="s">
        <v>42</v>
      </c>
      <c r="C67" s="3" t="s">
        <v>43</v>
      </c>
      <c r="D67" s="2">
        <f>D66*EXP(-D$18/($D$13*0.7)*12)</f>
        <v>0.267290003163488</v>
      </c>
      <c r="E67" s="2">
        <f t="shared" ref="E67:Q67" si="32">E66*EXP(-E$18/($D$13*0.7)*12)</f>
        <v>0.19898720020885713</v>
      </c>
      <c r="F67" s="2">
        <f t="shared" si="32"/>
        <v>0.20823452714237023</v>
      </c>
      <c r="G67" s="2">
        <f t="shared" si="32"/>
        <v>0.21791159556340375</v>
      </c>
      <c r="H67" s="2">
        <f t="shared" si="32"/>
        <v>0.22803837640490124</v>
      </c>
      <c r="I67" s="2">
        <f t="shared" si="32"/>
        <v>0.23863576868837627</v>
      </c>
      <c r="J67" s="2">
        <f t="shared" si="32"/>
        <v>0.2497256426540154</v>
      </c>
      <c r="K67" s="2">
        <f t="shared" si="32"/>
        <v>0.26133088489512196</v>
      </c>
      <c r="L67" s="2">
        <f t="shared" si="32"/>
        <v>0.273475445590046</v>
      </c>
      <c r="M67" s="2">
        <f t="shared" si="32"/>
        <v>0.28618438792907575</v>
      </c>
      <c r="N67" s="2">
        <f t="shared" si="32"/>
        <v>0.29948393983829302</v>
      </c>
      <c r="O67" s="2">
        <f t="shared" si="32"/>
        <v>0.31340154810713883</v>
      </c>
      <c r="P67" s="2">
        <f t="shared" si="32"/>
        <v>0.3279659350313931</v>
      </c>
      <c r="Q67" s="2">
        <f t="shared" si="32"/>
        <v>0.33550000950933567</v>
      </c>
    </row>
    <row r="68" spans="2:17" x14ac:dyDescent="0.25">
      <c r="B68" s="3" t="s">
        <v>44</v>
      </c>
      <c r="C68" s="3" t="s">
        <v>45</v>
      </c>
      <c r="D68" s="2">
        <f t="shared" ref="D68:Q68" si="33">D66*EXP(-D$18/(0.7*$D$13)*$C$65)</f>
        <v>0.2905185868349372</v>
      </c>
      <c r="E68" s="2">
        <f t="shared" si="33"/>
        <v>0.23863576868837627</v>
      </c>
      <c r="F68" s="2">
        <f t="shared" si="33"/>
        <v>0.2459729064809929</v>
      </c>
      <c r="G68" s="2">
        <f t="shared" si="33"/>
        <v>0.25353563321731121</v>
      </c>
      <c r="H68" s="2">
        <f t="shared" si="33"/>
        <v>0.26133088489512191</v>
      </c>
      <c r="I68" s="2">
        <f t="shared" si="33"/>
        <v>0.26936581076763777</v>
      </c>
      <c r="J68" s="2">
        <f t="shared" si="33"/>
        <v>0.27764777990028239</v>
      </c>
      <c r="K68" s="2">
        <f t="shared" si="33"/>
        <v>0.28618438792907575</v>
      </c>
      <c r="L68" s="2">
        <f t="shared" si="33"/>
        <v>0.29498346402681397</v>
      </c>
      <c r="M68" s="2">
        <f t="shared" si="33"/>
        <v>0.30405307808343263</v>
      </c>
      <c r="N68" s="2">
        <f t="shared" si="33"/>
        <v>0.31340154810713883</v>
      </c>
      <c r="O68" s="2">
        <f t="shared" si="33"/>
        <v>0.3230374478530994</v>
      </c>
      <c r="P68" s="2">
        <f t="shared" si="33"/>
        <v>0.33296961468668296</v>
      </c>
      <c r="Q68" s="2">
        <f t="shared" si="33"/>
        <v>0.33804963400843957</v>
      </c>
    </row>
    <row r="69" spans="2:17" x14ac:dyDescent="0.25">
      <c r="B69" s="3" t="s">
        <v>44</v>
      </c>
      <c r="C69" s="3" t="s">
        <v>30</v>
      </c>
      <c r="D69" s="2">
        <f t="shared" ref="D69:Q69" si="34">D68+D$66</f>
        <v>0.63372574452340258</v>
      </c>
      <c r="E69" s="2">
        <f t="shared" si="34"/>
        <v>0.58184292637684165</v>
      </c>
      <c r="F69" s="2">
        <f t="shared" si="34"/>
        <v>0.58918006416945823</v>
      </c>
      <c r="G69" s="2">
        <f t="shared" si="34"/>
        <v>0.59674279090577653</v>
      </c>
      <c r="H69" s="2">
        <f t="shared" si="34"/>
        <v>0.60453804258358734</v>
      </c>
      <c r="I69" s="2">
        <f t="shared" si="34"/>
        <v>0.61257296845610321</v>
      </c>
      <c r="J69" s="2">
        <f t="shared" si="34"/>
        <v>0.62085493758874777</v>
      </c>
      <c r="K69" s="2">
        <f t="shared" si="34"/>
        <v>0.62939154561754118</v>
      </c>
      <c r="L69" s="2">
        <f t="shared" si="34"/>
        <v>0.63819062171527929</v>
      </c>
      <c r="M69" s="2">
        <f t="shared" si="34"/>
        <v>0.64726023577189795</v>
      </c>
      <c r="N69" s="2">
        <f t="shared" si="34"/>
        <v>0.65660870579560426</v>
      </c>
      <c r="O69" s="2">
        <f t="shared" si="34"/>
        <v>0.66624460554156473</v>
      </c>
      <c r="P69" s="2">
        <f t="shared" si="34"/>
        <v>0.67617677237514839</v>
      </c>
      <c r="Q69" s="2">
        <f t="shared" si="34"/>
        <v>0.68125679169690501</v>
      </c>
    </row>
    <row r="70" spans="2:17" x14ac:dyDescent="0.25">
      <c r="B70" s="3" t="s">
        <v>44</v>
      </c>
      <c r="C70" s="3" t="s">
        <v>43</v>
      </c>
      <c r="D70" s="2">
        <f t="shared" ref="D70:Q70" si="35">D69*EXP(-D$18/($D$13*0.7)*12)</f>
        <v>0.49354610608733501</v>
      </c>
      <c r="E70" s="2">
        <f t="shared" si="35"/>
        <v>0.33734522222916641</v>
      </c>
      <c r="F70" s="2">
        <f t="shared" si="35"/>
        <v>0.3574739900250099</v>
      </c>
      <c r="G70" s="2">
        <f t="shared" si="35"/>
        <v>0.37888829179161004</v>
      </c>
      <c r="H70" s="2">
        <f t="shared" si="35"/>
        <v>0.40167540395790374</v>
      </c>
      <c r="I70" s="2">
        <f t="shared" si="35"/>
        <v>0.4259288244155276</v>
      </c>
      <c r="J70" s="2">
        <f t="shared" si="35"/>
        <v>0.45174873195682019</v>
      </c>
      <c r="K70" s="2">
        <f t="shared" si="35"/>
        <v>0.47924248045852574</v>
      </c>
      <c r="L70" s="2">
        <f t="shared" si="35"/>
        <v>0.50852513047935222</v>
      </c>
      <c r="M70" s="2">
        <f t="shared" si="35"/>
        <v>0.53972002114638684</v>
      </c>
      <c r="N70" s="2">
        <f t="shared" si="35"/>
        <v>0.57295938542833913</v>
      </c>
      <c r="O70" s="2">
        <f t="shared" si="35"/>
        <v>0.60838501213395269</v>
      </c>
      <c r="P70" s="2">
        <f t="shared" si="35"/>
        <v>0.64614895823304119</v>
      </c>
      <c r="Q70" s="2">
        <f t="shared" si="35"/>
        <v>0.66595831401651662</v>
      </c>
    </row>
    <row r="71" spans="2:17" x14ac:dyDescent="0.25">
      <c r="B71" s="3" t="s">
        <v>46</v>
      </c>
      <c r="C71" s="3" t="s">
        <v>47</v>
      </c>
      <c r="D71" s="2">
        <f t="shared" ref="D71:Q71" si="36">D69*EXP(-D$18/(0.7*$D$13)*$C$65)</f>
        <v>0.53643726133175851</v>
      </c>
      <c r="E71" s="2">
        <f t="shared" si="36"/>
        <v>0.40456188305334517</v>
      </c>
      <c r="F71" s="2">
        <f t="shared" si="36"/>
        <v>0.4222590630116399</v>
      </c>
      <c r="G71" s="2">
        <f t="shared" si="36"/>
        <v>0.44082868894446242</v>
      </c>
      <c r="H71" s="2">
        <f t="shared" si="36"/>
        <v>0.46031808510397904</v>
      </c>
      <c r="I71" s="2">
        <f t="shared" si="36"/>
        <v>0.48077731074681029</v>
      </c>
      <c r="J71" s="2">
        <f t="shared" si="36"/>
        <v>0.50225932414298702</v>
      </c>
      <c r="K71" s="2">
        <f t="shared" si="36"/>
        <v>0.52482015661745207</v>
      </c>
      <c r="L71" s="2">
        <f t="shared" si="36"/>
        <v>0.54851909724412506</v>
      </c>
      <c r="M71" s="2">
        <f t="shared" si="36"/>
        <v>0.57341888885107029</v>
      </c>
      <c r="N71" s="2">
        <f t="shared" si="36"/>
        <v>0.59958593603621457</v>
      </c>
      <c r="O71" s="2">
        <f t="shared" si="36"/>
        <v>0.62709052593653192</v>
      </c>
      <c r="P71" s="2">
        <f t="shared" si="36"/>
        <v>0.65600706253978247</v>
      </c>
      <c r="Q71" s="2">
        <f t="shared" si="36"/>
        <v>0.67101924869512253</v>
      </c>
    </row>
    <row r="72" spans="2:17" x14ac:dyDescent="0.25">
      <c r="B72" s="3" t="s">
        <v>46</v>
      </c>
      <c r="C72" s="3" t="s">
        <v>30</v>
      </c>
      <c r="D72" s="2">
        <f>D71+D$66</f>
        <v>0.87964441902022394</v>
      </c>
      <c r="E72" s="2">
        <f>E71+E$66</f>
        <v>0.7477690407418105</v>
      </c>
      <c r="F72" s="2">
        <f t="shared" ref="F72:Q72" si="37">F71+F$66</f>
        <v>0.76546622070010528</v>
      </c>
      <c r="G72" s="2">
        <f t="shared" si="37"/>
        <v>0.7840358466329278</v>
      </c>
      <c r="H72" s="2">
        <f t="shared" si="37"/>
        <v>0.80352524279244442</v>
      </c>
      <c r="I72" s="2">
        <f t="shared" si="37"/>
        <v>0.82398446843527573</v>
      </c>
      <c r="J72" s="2">
        <f t="shared" si="37"/>
        <v>0.84546648183145234</v>
      </c>
      <c r="K72" s="2">
        <f t="shared" si="37"/>
        <v>0.8680273143059174</v>
      </c>
      <c r="L72" s="2">
        <f t="shared" si="37"/>
        <v>0.89172625493259039</v>
      </c>
      <c r="M72" s="2">
        <f t="shared" si="37"/>
        <v>0.91662604653953572</v>
      </c>
      <c r="N72" s="2">
        <f t="shared" si="37"/>
        <v>0.94279309372468001</v>
      </c>
      <c r="O72" s="2">
        <f t="shared" si="37"/>
        <v>0.97029768362499724</v>
      </c>
      <c r="P72" s="2">
        <f t="shared" si="37"/>
        <v>0.99921422022824791</v>
      </c>
      <c r="Q72" s="2">
        <f t="shared" si="37"/>
        <v>1.014226406383588</v>
      </c>
    </row>
    <row r="73" spans="2:17" x14ac:dyDescent="0.25">
      <c r="B73" s="3" t="s">
        <v>46</v>
      </c>
      <c r="C73" s="3" t="s">
        <v>43</v>
      </c>
      <c r="D73" s="2">
        <f t="shared" ref="D73:Q73" si="38">D72*EXP(-D$18/($D$13*0.7)*12)</f>
        <v>0.68506776235734146</v>
      </c>
      <c r="E73" s="2">
        <f t="shared" si="38"/>
        <v>0.43354709972319583</v>
      </c>
      <c r="F73" s="2">
        <f t="shared" si="38"/>
        <v>0.46443232007308649</v>
      </c>
      <c r="G73" s="2">
        <f t="shared" si="38"/>
        <v>0.49780576684175432</v>
      </c>
      <c r="H73" s="2">
        <f t="shared" si="38"/>
        <v>0.53388919100885435</v>
      </c>
      <c r="I73" s="2">
        <f t="shared" si="38"/>
        <v>0.5729256007848802</v>
      </c>
      <c r="J73" s="2">
        <f t="shared" si="38"/>
        <v>0.61518140221725559</v>
      </c>
      <c r="K73" s="2">
        <f t="shared" si="38"/>
        <v>0.66094876251564061</v>
      </c>
      <c r="L73" s="2">
        <f t="shared" si="38"/>
        <v>0.71054821978215688</v>
      </c>
      <c r="M73" s="2">
        <f t="shared" si="38"/>
        <v>0.76433156538909153</v>
      </c>
      <c r="N73" s="2">
        <f t="shared" si="38"/>
        <v>0.82268502808235455</v>
      </c>
      <c r="O73" s="2">
        <f t="shared" si="38"/>
        <v>0.88603279203423502</v>
      </c>
      <c r="P73" s="2">
        <f t="shared" si="38"/>
        <v>0.95484088455779725</v>
      </c>
      <c r="Q73" s="2">
        <f t="shared" si="38"/>
        <v>0.99145067742201443</v>
      </c>
    </row>
    <row r="74" spans="2:17" x14ac:dyDescent="0.25">
      <c r="B74" s="3" t="s">
        <v>48</v>
      </c>
      <c r="C74" s="3" t="s">
        <v>47</v>
      </c>
      <c r="D74" s="2">
        <f t="shared" ref="D74:Q74" si="39">D72*EXP(-D$18/(0.7*$D$13)*$C$65)</f>
        <v>0.74460292510264126</v>
      </c>
      <c r="E74" s="2">
        <f t="shared" si="39"/>
        <v>0.519932162955554</v>
      </c>
      <c r="F74" s="2">
        <f t="shared" si="39"/>
        <v>0.54860146969759416</v>
      </c>
      <c r="G74" s="2">
        <f t="shared" si="39"/>
        <v>0.5791867109647717</v>
      </c>
      <c r="H74" s="2">
        <f t="shared" si="39"/>
        <v>0.61183445050736607</v>
      </c>
      <c r="I74" s="2">
        <f t="shared" si="39"/>
        <v>0.64670342511177925</v>
      </c>
      <c r="J74" s="2">
        <f t="shared" si="39"/>
        <v>0.68396560620010183</v>
      </c>
      <c r="K74" s="2">
        <f t="shared" si="39"/>
        <v>0.72380735682630915</v>
      </c>
      <c r="L74" s="2">
        <f t="shared" si="39"/>
        <v>0.76643069280752885</v>
      </c>
      <c r="M74" s="2">
        <f t="shared" si="39"/>
        <v>0.81205465753944661</v>
      </c>
      <c r="N74" s="2">
        <f t="shared" si="39"/>
        <v>0.86091682093133659</v>
      </c>
      <c r="O74" s="2">
        <f t="shared" si="39"/>
        <v>0.91327491386560755</v>
      </c>
      <c r="P74" s="2">
        <f t="shared" si="39"/>
        <v>0.9694086106469213</v>
      </c>
      <c r="Q74" s="2">
        <f t="shared" si="39"/>
        <v>0.99898518372651568</v>
      </c>
    </row>
    <row r="75" spans="2:17" x14ac:dyDescent="0.25">
      <c r="B75" s="3" t="s">
        <v>48</v>
      </c>
      <c r="C75" s="3" t="s">
        <v>30</v>
      </c>
      <c r="D75" s="2">
        <f>D74+D$66</f>
        <v>1.0878100827911066</v>
      </c>
      <c r="E75" s="2">
        <f>E74+E$66</f>
        <v>0.86313932064401944</v>
      </c>
      <c r="F75" s="2">
        <f t="shared" ref="F75:Q75" si="40">F74+F$66</f>
        <v>0.89180862738605948</v>
      </c>
      <c r="G75" s="2">
        <f t="shared" si="40"/>
        <v>0.92239386865323714</v>
      </c>
      <c r="H75" s="2">
        <f t="shared" si="40"/>
        <v>0.9550416081958315</v>
      </c>
      <c r="I75" s="2">
        <f t="shared" si="40"/>
        <v>0.98991058280024458</v>
      </c>
      <c r="J75" s="2">
        <f t="shared" si="40"/>
        <v>1.0271727638885673</v>
      </c>
      <c r="K75" s="2">
        <f t="shared" si="40"/>
        <v>1.0670145145147745</v>
      </c>
      <c r="L75" s="2">
        <f t="shared" si="40"/>
        <v>1.1096378504959943</v>
      </c>
      <c r="M75" s="2">
        <f t="shared" si="40"/>
        <v>1.1552618152279119</v>
      </c>
      <c r="N75" s="2">
        <f t="shared" si="40"/>
        <v>1.2041239786198019</v>
      </c>
      <c r="O75" s="2">
        <f t="shared" si="40"/>
        <v>1.256482071554073</v>
      </c>
      <c r="P75" s="2">
        <f t="shared" si="40"/>
        <v>1.3126157683353867</v>
      </c>
      <c r="Q75" s="2">
        <f t="shared" si="40"/>
        <v>1.342192341414981</v>
      </c>
    </row>
    <row r="76" spans="2:17" x14ac:dyDescent="0.25">
      <c r="B76" s="3" t="s">
        <v>48</v>
      </c>
      <c r="C76" s="3" t="s">
        <v>43</v>
      </c>
      <c r="D76" s="2">
        <f t="shared" ref="D76:Q76" si="41">D75*EXP(-D$18/($D$13*0.7)*12)</f>
        <v>0.84718734431068354</v>
      </c>
      <c r="E76" s="2">
        <f t="shared" si="41"/>
        <v>0.50043733924987654</v>
      </c>
      <c r="F76" s="2">
        <f t="shared" si="41"/>
        <v>0.54108821353251046</v>
      </c>
      <c r="G76" s="2">
        <f t="shared" si="41"/>
        <v>0.58565305283807267</v>
      </c>
      <c r="H76" s="2">
        <f t="shared" si="41"/>
        <v>0.63456175913962487</v>
      </c>
      <c r="I76" s="2">
        <f t="shared" si="41"/>
        <v>0.68829588068708902</v>
      </c>
      <c r="J76" s="2">
        <f t="shared" si="41"/>
        <v>0.74739518926820625</v>
      </c>
      <c r="K76" s="2">
        <f t="shared" si="41"/>
        <v>0.8124651279190277</v>
      </c>
      <c r="L76" s="2">
        <f t="shared" si="41"/>
        <v>0.88418524733515946</v>
      </c>
      <c r="M76" s="2">
        <f t="shared" si="41"/>
        <v>0.9633187655979486</v>
      </c>
      <c r="N76" s="2">
        <f t="shared" si="41"/>
        <v>1.0507234044872558</v>
      </c>
      <c r="O76" s="2">
        <f t="shared" si="41"/>
        <v>1.1473636769293569</v>
      </c>
      <c r="P76" s="2">
        <f t="shared" si="41"/>
        <v>1.2543248243960903</v>
      </c>
      <c r="Q76" s="2">
        <f t="shared" si="41"/>
        <v>1.312051725089117</v>
      </c>
    </row>
    <row r="77" spans="2:17" x14ac:dyDescent="0.25">
      <c r="B77" s="3" t="s">
        <v>49</v>
      </c>
      <c r="C77" s="3" t="s">
        <v>47</v>
      </c>
      <c r="D77" s="2">
        <f t="shared" ref="D77:Q77" si="42">D75*EXP(-D$18/(0.7*$D$13)*$C$65)</f>
        <v>0.92081135523441771</v>
      </c>
      <c r="E77" s="2">
        <f t="shared" si="42"/>
        <v>0.60015040669407049</v>
      </c>
      <c r="F77" s="2">
        <f t="shared" si="42"/>
        <v>0.63914972397542802</v>
      </c>
      <c r="G77" s="2">
        <f t="shared" si="42"/>
        <v>0.6813952108103819</v>
      </c>
      <c r="H77" s="2">
        <f t="shared" si="42"/>
        <v>0.72720473040957501</v>
      </c>
      <c r="I77" s="2">
        <f t="shared" si="42"/>
        <v>0.77693037790748354</v>
      </c>
      <c r="J77" s="2">
        <f t="shared" si="42"/>
        <v>0.83096238256945443</v>
      </c>
      <c r="K77" s="2">
        <f t="shared" si="42"/>
        <v>0.88973347119127799</v>
      </c>
      <c r="L77" s="2">
        <f t="shared" si="42"/>
        <v>0.95372374853468023</v>
      </c>
      <c r="M77" s="2">
        <f t="shared" si="42"/>
        <v>1.023466157518619</v>
      </c>
      <c r="N77" s="2">
        <f t="shared" si="42"/>
        <v>1.0995525896197129</v>
      </c>
      <c r="O77" s="2">
        <f t="shared" si="42"/>
        <v>1.1826407246332453</v>
      </c>
      <c r="P77" s="2">
        <f t="shared" si="42"/>
        <v>1.2734616887303538</v>
      </c>
      <c r="Q77" s="2">
        <f t="shared" si="42"/>
        <v>1.3220226315796151</v>
      </c>
    </row>
    <row r="78" spans="2:17" x14ac:dyDescent="0.25">
      <c r="B78" s="3" t="s">
        <v>49</v>
      </c>
      <c r="C78" s="3" t="s">
        <v>30</v>
      </c>
      <c r="D78" s="2">
        <f>D77+D$66</f>
        <v>1.2640185129228831</v>
      </c>
      <c r="E78" s="2">
        <f>E77+E$66</f>
        <v>0.94335756438253582</v>
      </c>
      <c r="F78" s="2">
        <f t="shared" ref="F78:Q78" si="43">F77+F$66</f>
        <v>0.98235688166389346</v>
      </c>
      <c r="G78" s="2">
        <f t="shared" si="43"/>
        <v>1.0246023684988472</v>
      </c>
      <c r="H78" s="2">
        <f t="shared" si="43"/>
        <v>1.0704118880980404</v>
      </c>
      <c r="I78" s="2">
        <f t="shared" si="43"/>
        <v>1.1201375355959489</v>
      </c>
      <c r="J78" s="2">
        <f t="shared" si="43"/>
        <v>1.1741695402579198</v>
      </c>
      <c r="K78" s="2">
        <f t="shared" si="43"/>
        <v>1.2329406288797433</v>
      </c>
      <c r="L78" s="2">
        <f t="shared" si="43"/>
        <v>1.2969309062231456</v>
      </c>
      <c r="M78" s="2">
        <f t="shared" si="43"/>
        <v>1.3666733152070845</v>
      </c>
      <c r="N78" s="2">
        <f t="shared" si="43"/>
        <v>1.4427597473081784</v>
      </c>
      <c r="O78" s="2">
        <f t="shared" si="43"/>
        <v>1.5258478823217108</v>
      </c>
      <c r="P78" s="2">
        <f t="shared" si="43"/>
        <v>1.6166688464188192</v>
      </c>
      <c r="Q78" s="2">
        <f t="shared" si="43"/>
        <v>1.6652297892680805</v>
      </c>
    </row>
    <row r="79" spans="2:17" x14ac:dyDescent="0.25">
      <c r="B79" s="3" t="s">
        <v>49</v>
      </c>
      <c r="C79" s="3" t="s">
        <v>43</v>
      </c>
      <c r="D79" s="2">
        <f t="shared" ref="D79:Q79" si="44">D78*EXP(-D$18/($D$13*0.7)*12)</f>
        <v>0.98441860768109413</v>
      </c>
      <c r="E79" s="2">
        <f t="shared" si="44"/>
        <v>0.54694686963003369</v>
      </c>
      <c r="F79" s="2">
        <f t="shared" si="44"/>
        <v>0.59602667414068655</v>
      </c>
      <c r="G79" s="2">
        <f t="shared" si="44"/>
        <v>0.65054802015607904</v>
      </c>
      <c r="H79" s="2">
        <f t="shared" si="44"/>
        <v>0.7112176525990489</v>
      </c>
      <c r="I79" s="2">
        <f t="shared" si="44"/>
        <v>0.77884413496492289</v>
      </c>
      <c r="J79" s="2">
        <f t="shared" si="44"/>
        <v>0.85435351931628278</v>
      </c>
      <c r="K79" s="2">
        <f t="shared" si="44"/>
        <v>0.9388075346049819</v>
      </c>
      <c r="L79" s="2">
        <f t="shared" si="44"/>
        <v>1.0334247102177991</v>
      </c>
      <c r="M79" s="2">
        <f t="shared" si="44"/>
        <v>1.1396049221285958</v>
      </c>
      <c r="N79" s="2">
        <f t="shared" si="44"/>
        <v>1.2589579316296262</v>
      </c>
      <c r="O79" s="2">
        <f t="shared" si="44"/>
        <v>1.3933365834103497</v>
      </c>
      <c r="P79" s="2">
        <f t="shared" si="44"/>
        <v>1.5448754432247416</v>
      </c>
      <c r="Q79" s="2">
        <f t="shared" si="44"/>
        <v>1.6278349609532241</v>
      </c>
    </row>
    <row r="80" spans="2:17" x14ac:dyDescent="0.25">
      <c r="B80" s="3" t="s">
        <v>50</v>
      </c>
      <c r="C80" s="3" t="s">
        <v>47</v>
      </c>
      <c r="D80" s="2">
        <f t="shared" ref="D80:Q80" si="45">D78*EXP(-D$18/(0.7*$D$13)*$C$65)</f>
        <v>1.0699685711126312</v>
      </c>
      <c r="E80" s="2">
        <f t="shared" si="45"/>
        <v>0.65592704721142447</v>
      </c>
      <c r="F80" s="2">
        <f t="shared" si="45"/>
        <v>0.70404469129343439</v>
      </c>
      <c r="G80" s="2">
        <f t="shared" si="45"/>
        <v>0.75689916271825641</v>
      </c>
      <c r="H80" s="2">
        <f t="shared" si="45"/>
        <v>0.81505201640589331</v>
      </c>
      <c r="I80" s="2">
        <f t="shared" si="45"/>
        <v>0.87913887775309363</v>
      </c>
      <c r="J80" s="2">
        <f t="shared" si="45"/>
        <v>0.9498798576195987</v>
      </c>
      <c r="K80" s="2">
        <f t="shared" si="45"/>
        <v>1.0280914932115872</v>
      </c>
      <c r="L80" s="2">
        <f t="shared" si="45"/>
        <v>1.1147004447628865</v>
      </c>
      <c r="M80" s="2">
        <f t="shared" si="45"/>
        <v>1.2107592132457703</v>
      </c>
      <c r="N80" s="2">
        <f t="shared" si="45"/>
        <v>1.3174641851831168</v>
      </c>
      <c r="O80" s="2">
        <f t="shared" si="45"/>
        <v>1.4361763578505564</v>
      </c>
      <c r="P80" s="2">
        <f t="shared" si="45"/>
        <v>1.5684451527571677</v>
      </c>
      <c r="Q80" s="2">
        <f t="shared" si="45"/>
        <v>1.6402056547812631</v>
      </c>
    </row>
    <row r="81" spans="2:17" x14ac:dyDescent="0.25">
      <c r="B81" s="3" t="s">
        <v>50</v>
      </c>
      <c r="C81" s="3" t="s">
        <v>30</v>
      </c>
      <c r="D81" s="2">
        <f>D80+D$66</f>
        <v>1.4131757288010967</v>
      </c>
      <c r="E81" s="2">
        <f>E80+E$66</f>
        <v>0.99913420489988991</v>
      </c>
      <c r="F81" s="2">
        <f t="shared" ref="F81:Q81" si="46">F80+F$66</f>
        <v>1.0472518489818998</v>
      </c>
      <c r="G81" s="2">
        <f t="shared" si="46"/>
        <v>1.1001063204067218</v>
      </c>
      <c r="H81" s="2">
        <f t="shared" si="46"/>
        <v>1.1582591740943586</v>
      </c>
      <c r="I81" s="2">
        <f t="shared" si="46"/>
        <v>1.222346035441559</v>
      </c>
      <c r="J81" s="2">
        <f t="shared" si="46"/>
        <v>1.293087015308064</v>
      </c>
      <c r="K81" s="2">
        <f t="shared" si="46"/>
        <v>1.3712986509000527</v>
      </c>
      <c r="L81" s="2">
        <f t="shared" si="46"/>
        <v>1.457907602451352</v>
      </c>
      <c r="M81" s="2">
        <f t="shared" si="46"/>
        <v>1.5539663709342357</v>
      </c>
      <c r="N81" s="2">
        <f t="shared" si="46"/>
        <v>1.6606713428715822</v>
      </c>
      <c r="O81" s="2">
        <f t="shared" si="46"/>
        <v>1.7793835155390219</v>
      </c>
      <c r="P81" s="2">
        <f t="shared" si="46"/>
        <v>1.9116523104456331</v>
      </c>
      <c r="Q81" s="2">
        <f t="shared" si="46"/>
        <v>1.9834128124697286</v>
      </c>
    </row>
    <row r="82" spans="2:17" x14ac:dyDescent="0.25">
      <c r="B82" s="3" t="s">
        <v>50</v>
      </c>
      <c r="C82" s="3" t="s">
        <v>43</v>
      </c>
      <c r="D82" s="2">
        <f t="shared" ref="D82:Q82" si="47">D81*EXP(-D$18/($D$13*0.7)*12)</f>
        <v>1.1005823642077974</v>
      </c>
      <c r="E82" s="2">
        <f t="shared" si="47"/>
        <v>0.57928546538763959</v>
      </c>
      <c r="F82" s="2">
        <f t="shared" si="47"/>
        <v>0.63540048243885427</v>
      </c>
      <c r="G82" s="2">
        <f t="shared" si="47"/>
        <v>0.69848754083041842</v>
      </c>
      <c r="H82" s="2">
        <f t="shared" si="47"/>
        <v>0.76958634340695242</v>
      </c>
      <c r="I82" s="2">
        <f t="shared" si="47"/>
        <v>0.84991084607729039</v>
      </c>
      <c r="J82" s="2">
        <f t="shared" si="47"/>
        <v>0.94088068582324225</v>
      </c>
      <c r="K82" s="2">
        <f t="shared" si="47"/>
        <v>1.0441585551676904</v>
      </c>
      <c r="L82" s="2">
        <f t="shared" si="47"/>
        <v>1.1616946857833519</v>
      </c>
      <c r="M82" s="2">
        <f t="shared" si="47"/>
        <v>1.2957798366544022</v>
      </c>
      <c r="N82" s="2">
        <f t="shared" si="47"/>
        <v>1.4491084623333459</v>
      </c>
      <c r="O82" s="2">
        <f t="shared" si="47"/>
        <v>1.6248540741462358</v>
      </c>
      <c r="P82" s="2">
        <f t="shared" si="47"/>
        <v>1.8267592135107036</v>
      </c>
      <c r="Q82" s="2">
        <f t="shared" si="47"/>
        <v>1.9388727843740314</v>
      </c>
    </row>
    <row r="83" spans="2:17" x14ac:dyDescent="0.25">
      <c r="B83" s="3" t="s">
        <v>51</v>
      </c>
      <c r="C83" s="3" t="s">
        <v>47</v>
      </c>
      <c r="D83" s="2">
        <f t="shared" ref="D83:Q83" si="48">D81*EXP(-D$18/(0.7*$D$13)*$C$65)</f>
        <v>1.196227428489103</v>
      </c>
      <c r="E83" s="2">
        <f t="shared" si="48"/>
        <v>0.69470916811577932</v>
      </c>
      <c r="F83" s="2">
        <f t="shared" si="48"/>
        <v>0.75055422167359154</v>
      </c>
      <c r="G83" s="2">
        <f t="shared" si="48"/>
        <v>0.81267580323561051</v>
      </c>
      <c r="H83" s="2">
        <f t="shared" si="48"/>
        <v>0.88194225593257392</v>
      </c>
      <c r="I83" s="2">
        <f t="shared" si="48"/>
        <v>0.95935712149161001</v>
      </c>
      <c r="J83" s="2">
        <f t="shared" si="48"/>
        <v>1.046081735113628</v>
      </c>
      <c r="K83" s="2">
        <f t="shared" si="48"/>
        <v>1.1434617731137962</v>
      </c>
      <c r="L83" s="2">
        <f t="shared" si="48"/>
        <v>1.2530584667831959</v>
      </c>
      <c r="M83" s="2">
        <f t="shared" si="48"/>
        <v>1.3766853276107391</v>
      </c>
      <c r="N83" s="2">
        <f t="shared" si="48"/>
        <v>1.5164513853919739</v>
      </c>
      <c r="O83" s="2">
        <f t="shared" si="48"/>
        <v>1.6748121265389326</v>
      </c>
      <c r="P83" s="2">
        <f t="shared" si="48"/>
        <v>1.8546295406862434</v>
      </c>
      <c r="Q83" s="2">
        <f t="shared" si="48"/>
        <v>1.953607202888402</v>
      </c>
    </row>
    <row r="84" spans="2:17" x14ac:dyDescent="0.25">
      <c r="B84" s="3" t="s">
        <v>51</v>
      </c>
      <c r="C84" s="3" t="s">
        <v>30</v>
      </c>
      <c r="D84" s="2">
        <f>D83+D$66</f>
        <v>1.5394345861775685</v>
      </c>
      <c r="E84" s="2">
        <f>E83+E$66</f>
        <v>1.0379163258042448</v>
      </c>
      <c r="F84" s="2">
        <f t="shared" ref="F84:Q84" si="49">F83+F$66</f>
        <v>1.0937613793620569</v>
      </c>
      <c r="G84" s="2">
        <f t="shared" si="49"/>
        <v>1.1558829609240759</v>
      </c>
      <c r="H84" s="2">
        <f t="shared" si="49"/>
        <v>1.2251494136210392</v>
      </c>
      <c r="I84" s="2">
        <f t="shared" si="49"/>
        <v>1.3025642791800753</v>
      </c>
      <c r="J84" s="2">
        <f t="shared" si="49"/>
        <v>1.3892888928020934</v>
      </c>
      <c r="K84" s="2">
        <f t="shared" si="49"/>
        <v>1.4866689308022616</v>
      </c>
      <c r="L84" s="2">
        <f t="shared" si="49"/>
        <v>1.5962656244716613</v>
      </c>
      <c r="M84" s="2">
        <f t="shared" si="49"/>
        <v>1.7198924852992046</v>
      </c>
      <c r="N84" s="2">
        <f t="shared" si="49"/>
        <v>1.8596585430804393</v>
      </c>
      <c r="O84" s="2">
        <f t="shared" si="49"/>
        <v>2.0180192842273978</v>
      </c>
      <c r="P84" s="2">
        <f t="shared" si="49"/>
        <v>2.1978366983747089</v>
      </c>
      <c r="Q84" s="2">
        <f t="shared" si="49"/>
        <v>2.2968143605768674</v>
      </c>
    </row>
    <row r="85" spans="2:17" x14ac:dyDescent="0.25">
      <c r="B85" s="3" t="s">
        <v>51</v>
      </c>
      <c r="C85" s="3" t="s">
        <v>43</v>
      </c>
      <c r="D85" s="2">
        <f t="shared" ref="D85:Q85" si="50">D84*EXP(-D$18/($D$13*0.7)*12)</f>
        <v>1.1989128612022943</v>
      </c>
      <c r="E85" s="2">
        <f t="shared" si="50"/>
        <v>0.6017708520820626</v>
      </c>
      <c r="F85" s="2">
        <f t="shared" si="50"/>
        <v>0.66361927056540271</v>
      </c>
      <c r="G85" s="2">
        <f t="shared" si="50"/>
        <v>0.73390165285583187</v>
      </c>
      <c r="H85" s="2">
        <f t="shared" si="50"/>
        <v>0.81403046782945376</v>
      </c>
      <c r="I85" s="2">
        <f t="shared" si="50"/>
        <v>0.90568748659464449</v>
      </c>
      <c r="J85" s="2">
        <f t="shared" si="50"/>
        <v>1.0108794464654267</v>
      </c>
      <c r="K85" s="2">
        <f t="shared" si="50"/>
        <v>1.1320058411640086</v>
      </c>
      <c r="L85" s="2">
        <f t="shared" si="50"/>
        <v>1.2719415756728314</v>
      </c>
      <c r="M85" s="2">
        <f t="shared" si="50"/>
        <v>1.4341378586747113</v>
      </c>
      <c r="N85" s="2">
        <f t="shared" si="50"/>
        <v>1.6227454898863483</v>
      </c>
      <c r="O85" s="2">
        <f t="shared" si="50"/>
        <v>1.8427656697096393</v>
      </c>
      <c r="P85" s="2">
        <f t="shared" si="50"/>
        <v>2.1002346591007495</v>
      </c>
      <c r="Q85" s="2">
        <f t="shared" si="50"/>
        <v>2.2452365067344742</v>
      </c>
    </row>
    <row r="86" spans="2:17" x14ac:dyDescent="0.25">
      <c r="B86" s="3" t="s">
        <v>52</v>
      </c>
      <c r="C86" s="3" t="s">
        <v>47</v>
      </c>
      <c r="D86" s="2">
        <f t="shared" ref="D86:Q86" si="51">D84*EXP(-D$18/(0.7*$D$13)*$C$65)</f>
        <v>1.303103243863857</v>
      </c>
      <c r="E86" s="2">
        <f t="shared" si="51"/>
        <v>0.72167480978743992</v>
      </c>
      <c r="F86" s="2">
        <f t="shared" si="51"/>
        <v>0.7838871056487493</v>
      </c>
      <c r="G86" s="2">
        <f t="shared" si="51"/>
        <v>0.85387938991936507</v>
      </c>
      <c r="H86" s="2">
        <f t="shared" si="51"/>
        <v>0.93287500921221678</v>
      </c>
      <c r="I86" s="2">
        <f t="shared" si="51"/>
        <v>1.0223163336727132</v>
      </c>
      <c r="J86" s="2">
        <f t="shared" si="51"/>
        <v>1.1239071449575029</v>
      </c>
      <c r="K86" s="2">
        <f t="shared" si="51"/>
        <v>1.2396636506078256</v>
      </c>
      <c r="L86" s="2">
        <f t="shared" si="51"/>
        <v>1.3719759418333404</v>
      </c>
      <c r="M86" s="2">
        <f t="shared" si="51"/>
        <v>1.5236821039800916</v>
      </c>
      <c r="N86" s="2">
        <f t="shared" si="51"/>
        <v>1.6981576674490888</v>
      </c>
      <c r="O86" s="2">
        <f t="shared" si="51"/>
        <v>1.899423670781637</v>
      </c>
      <c r="P86" s="2">
        <f t="shared" si="51"/>
        <v>2.1322773205865255</v>
      </c>
      <c r="Q86" s="2">
        <f t="shared" si="51"/>
        <v>2.262299129213158</v>
      </c>
    </row>
    <row r="87" spans="2:17" x14ac:dyDescent="0.25">
      <c r="B87" s="3" t="s">
        <v>52</v>
      </c>
      <c r="C87" s="3" t="s">
        <v>30</v>
      </c>
      <c r="D87" s="2">
        <f>D86+D$66</f>
        <v>1.6463104015523224</v>
      </c>
      <c r="E87" s="2">
        <f>E86+E$66</f>
        <v>1.0648819674759054</v>
      </c>
      <c r="F87" s="2">
        <f t="shared" ref="F87:Q87" si="52">F86+F$66</f>
        <v>1.1270942633372147</v>
      </c>
      <c r="G87" s="2">
        <f t="shared" si="52"/>
        <v>1.1970865476078305</v>
      </c>
      <c r="H87" s="2">
        <f t="shared" si="52"/>
        <v>1.2760821669006821</v>
      </c>
      <c r="I87" s="2">
        <f t="shared" si="52"/>
        <v>1.3655234913611787</v>
      </c>
      <c r="J87" s="2">
        <f t="shared" si="52"/>
        <v>1.4671143026459683</v>
      </c>
      <c r="K87" s="2">
        <f t="shared" si="52"/>
        <v>1.582870808296291</v>
      </c>
      <c r="L87" s="2">
        <f t="shared" si="52"/>
        <v>1.7151830995218058</v>
      </c>
      <c r="M87" s="2">
        <f t="shared" si="52"/>
        <v>1.8668892616685571</v>
      </c>
      <c r="N87" s="2">
        <f t="shared" si="52"/>
        <v>2.041364825137554</v>
      </c>
      <c r="O87" s="2">
        <f t="shared" si="52"/>
        <v>2.2426308284701024</v>
      </c>
      <c r="P87" s="2">
        <f t="shared" si="52"/>
        <v>2.475484478274991</v>
      </c>
      <c r="Q87" s="2">
        <f t="shared" si="52"/>
        <v>2.6055062869016234</v>
      </c>
    </row>
    <row r="88" spans="2:17" x14ac:dyDescent="0.25">
      <c r="B88" s="3" t="s">
        <v>52</v>
      </c>
      <c r="C88" s="3" t="s">
        <v>43</v>
      </c>
      <c r="D88" s="2">
        <f t="shared" ref="D88:Q88" si="53">D87*EXP(-D$18/($D$13*0.7)*12)</f>
        <v>1.2821478299075477</v>
      </c>
      <c r="E88" s="2">
        <f t="shared" si="53"/>
        <v>0.61740519250263648</v>
      </c>
      <c r="F88" s="2">
        <f t="shared" si="53"/>
        <v>0.68384337480497392</v>
      </c>
      <c r="G88" s="2">
        <f t="shared" si="53"/>
        <v>0.76006293509034195</v>
      </c>
      <c r="H88" s="2">
        <f t="shared" si="53"/>
        <v>0.84787190179588612</v>
      </c>
      <c r="I88" s="2">
        <f t="shared" si="53"/>
        <v>0.94946372977104698</v>
      </c>
      <c r="J88" s="2">
        <f t="shared" si="53"/>
        <v>1.0675070547559136</v>
      </c>
      <c r="K88" s="2">
        <f t="shared" si="53"/>
        <v>1.2052575820175817</v>
      </c>
      <c r="L88" s="2">
        <f t="shared" si="53"/>
        <v>1.3666977855864408</v>
      </c>
      <c r="M88" s="2">
        <f t="shared" si="53"/>
        <v>1.5567115915657845</v>
      </c>
      <c r="N88" s="2">
        <f t="shared" si="53"/>
        <v>1.7813031190755071</v>
      </c>
      <c r="O88" s="2">
        <f t="shared" si="53"/>
        <v>2.0478709657719554</v>
      </c>
      <c r="P88" s="2">
        <f t="shared" si="53"/>
        <v>2.3655525923212513</v>
      </c>
      <c r="Q88" s="2">
        <f t="shared" si="53"/>
        <v>2.5469963677902259</v>
      </c>
    </row>
    <row r="89" spans="2:17" x14ac:dyDescent="0.25">
      <c r="B89" s="3" t="s">
        <v>53</v>
      </c>
      <c r="C89" s="3" t="s">
        <v>47</v>
      </c>
      <c r="D89" s="2">
        <f t="shared" ref="D89:Q89" si="54">D87*EXP(-D$18/(0.7*$D$13)*$C$65)</f>
        <v>1.3935716684113695</v>
      </c>
      <c r="E89" s="2">
        <f t="shared" si="54"/>
        <v>0.7404243215162517</v>
      </c>
      <c r="F89" s="2">
        <f t="shared" si="54"/>
        <v>0.80777642779454684</v>
      </c>
      <c r="G89" s="2">
        <f t="shared" si="54"/>
        <v>0.88431750056673275</v>
      </c>
      <c r="H89" s="2">
        <f t="shared" si="54"/>
        <v>0.97165713011657151</v>
      </c>
      <c r="I89" s="2">
        <f t="shared" si="54"/>
        <v>1.0717298113771865</v>
      </c>
      <c r="J89" s="2">
        <f t="shared" si="54"/>
        <v>1.1868663571386062</v>
      </c>
      <c r="K89" s="2">
        <f t="shared" si="54"/>
        <v>1.319881894346342</v>
      </c>
      <c r="L89" s="2">
        <f t="shared" si="54"/>
        <v>1.4741844416789505</v>
      </c>
      <c r="M89" s="2">
        <f t="shared" si="54"/>
        <v>1.6539090567757959</v>
      </c>
      <c r="N89" s="2">
        <f t="shared" si="54"/>
        <v>1.8640837818140576</v>
      </c>
      <c r="O89" s="2">
        <f t="shared" si="54"/>
        <v>2.1108351707608093</v>
      </c>
      <c r="P89" s="2">
        <f t="shared" si="54"/>
        <v>2.4016431313541631</v>
      </c>
      <c r="Q89" s="2">
        <f t="shared" si="54"/>
        <v>2.5663522072965907</v>
      </c>
    </row>
    <row r="90" spans="2:17" x14ac:dyDescent="0.25">
      <c r="B90" s="3" t="s">
        <v>53</v>
      </c>
      <c r="C90" s="3" t="s">
        <v>30</v>
      </c>
      <c r="D90" s="2">
        <f>D89+D$66</f>
        <v>1.7367788260998349</v>
      </c>
      <c r="E90" s="2">
        <f>E89+E$66</f>
        <v>1.083631479204717</v>
      </c>
      <c r="F90" s="2">
        <f t="shared" ref="F90:Q90" si="55">F89+F$66</f>
        <v>1.1509835854830122</v>
      </c>
      <c r="G90" s="2">
        <f t="shared" si="55"/>
        <v>1.2275246582551982</v>
      </c>
      <c r="H90" s="2">
        <f t="shared" si="55"/>
        <v>1.3148642878050369</v>
      </c>
      <c r="I90" s="2">
        <f t="shared" si="55"/>
        <v>1.4149369690656519</v>
      </c>
      <c r="J90" s="2">
        <f t="shared" si="55"/>
        <v>1.5300735148270717</v>
      </c>
      <c r="K90" s="2">
        <f t="shared" si="55"/>
        <v>1.6630890520348074</v>
      </c>
      <c r="L90" s="2">
        <f t="shared" si="55"/>
        <v>1.8173915993674159</v>
      </c>
      <c r="M90" s="2">
        <f t="shared" si="55"/>
        <v>1.9971162144642614</v>
      </c>
      <c r="N90" s="2">
        <f t="shared" si="55"/>
        <v>2.2072909395025229</v>
      </c>
      <c r="O90" s="2">
        <f t="shared" si="55"/>
        <v>2.4540423284492747</v>
      </c>
      <c r="P90" s="2">
        <f t="shared" si="55"/>
        <v>2.7448502890426285</v>
      </c>
      <c r="Q90" s="2">
        <f t="shared" si="55"/>
        <v>2.9095593649850562</v>
      </c>
    </row>
    <row r="91" spans="2:17" x14ac:dyDescent="0.25">
      <c r="B91" s="3" t="s">
        <v>53</v>
      </c>
      <c r="C91" s="3" t="s">
        <v>43</v>
      </c>
      <c r="D91" s="2">
        <f t="shared" ref="D91:Q91" si="56">D90*EXP(-D$18/($D$13*0.7)*12)</f>
        <v>1.3526047097883866</v>
      </c>
      <c r="E91" s="2">
        <f t="shared" si="56"/>
        <v>0.62827592395627929</v>
      </c>
      <c r="F91" s="2">
        <f t="shared" si="56"/>
        <v>0.69833777443896228</v>
      </c>
      <c r="G91" s="2">
        <f t="shared" si="56"/>
        <v>0.77938892264193038</v>
      </c>
      <c r="H91" s="2">
        <f t="shared" si="56"/>
        <v>0.87364004702960341</v>
      </c>
      <c r="I91" s="2">
        <f t="shared" si="56"/>
        <v>0.98382147252615748</v>
      </c>
      <c r="J91" s="2">
        <f t="shared" si="56"/>
        <v>1.1133176661336288</v>
      </c>
      <c r="K91" s="2">
        <f t="shared" si="56"/>
        <v>1.2663387807959241</v>
      </c>
      <c r="L91" s="2">
        <f t="shared" si="56"/>
        <v>1.4481398954381834</v>
      </c>
      <c r="M91" s="2">
        <f t="shared" si="56"/>
        <v>1.6653017533465504</v>
      </c>
      <c r="N91" s="2">
        <f t="shared" si="56"/>
        <v>1.926090910760162</v>
      </c>
      <c r="O91" s="2">
        <f t="shared" si="56"/>
        <v>2.240922567106177</v>
      </c>
      <c r="P91" s="2">
        <f t="shared" si="56"/>
        <v>2.6229563440054973</v>
      </c>
      <c r="Q91" s="2">
        <f t="shared" si="56"/>
        <v>2.844221551773511</v>
      </c>
    </row>
    <row r="92" spans="2:17" x14ac:dyDescent="0.25">
      <c r="B92" s="3" t="s">
        <v>54</v>
      </c>
      <c r="C92" s="3" t="s">
        <v>47</v>
      </c>
      <c r="D92" s="2">
        <f t="shared" ref="D92:Q92" si="57">D90*EXP(-D$18/(0.7*$D$13)*$C$65)</f>
        <v>1.4701515364704842</v>
      </c>
      <c r="E92" s="2">
        <f t="shared" si="57"/>
        <v>0.75346106636176013</v>
      </c>
      <c r="F92" s="2">
        <f t="shared" si="57"/>
        <v>0.82489764997895243</v>
      </c>
      <c r="G92" s="2">
        <f t="shared" si="57"/>
        <v>0.90680288726115577</v>
      </c>
      <c r="H92" s="2">
        <f t="shared" si="57"/>
        <v>1.0011873008807965</v>
      </c>
      <c r="I92" s="2">
        <f t="shared" si="57"/>
        <v>1.1105119322815413</v>
      </c>
      <c r="J92" s="2">
        <f t="shared" si="57"/>
        <v>1.2377991104182493</v>
      </c>
      <c r="K92" s="2">
        <f t="shared" si="57"/>
        <v>1.3867721338730228</v>
      </c>
      <c r="L92" s="2">
        <f t="shared" si="57"/>
        <v>1.5620317276752689</v>
      </c>
      <c r="M92" s="2">
        <f t="shared" si="57"/>
        <v>1.7692793366780049</v>
      </c>
      <c r="N92" s="2">
        <f t="shared" si="57"/>
        <v>2.0156001472174445</v>
      </c>
      <c r="O92" s="2">
        <f t="shared" si="57"/>
        <v>2.3098223709696666</v>
      </c>
      <c r="P92" s="2">
        <f t="shared" si="57"/>
        <v>2.6629740162492848</v>
      </c>
      <c r="Q92" s="2">
        <f t="shared" si="57"/>
        <v>2.8658361471348837</v>
      </c>
    </row>
    <row r="93" spans="2:17" x14ac:dyDescent="0.25">
      <c r="B93" s="3" t="s">
        <v>54</v>
      </c>
      <c r="C93" s="3" t="s">
        <v>30</v>
      </c>
      <c r="D93" s="2">
        <f>D92+D$66</f>
        <v>1.8133586941589497</v>
      </c>
      <c r="E93" s="2">
        <f>E92+E$66</f>
        <v>1.0966682240502255</v>
      </c>
      <c r="F93" s="2">
        <f t="shared" ref="F93:Q93" si="58">F92+F$66</f>
        <v>1.1681048076674179</v>
      </c>
      <c r="G93" s="2">
        <f t="shared" si="58"/>
        <v>1.2500100449496212</v>
      </c>
      <c r="H93" s="2">
        <f t="shared" si="58"/>
        <v>1.344394458569262</v>
      </c>
      <c r="I93" s="2">
        <f t="shared" si="58"/>
        <v>1.4537190899700068</v>
      </c>
      <c r="J93" s="2">
        <f t="shared" si="58"/>
        <v>1.5810062681067147</v>
      </c>
      <c r="K93" s="2">
        <f t="shared" si="58"/>
        <v>1.7299792915614882</v>
      </c>
      <c r="L93" s="2">
        <f t="shared" si="58"/>
        <v>1.9052388853637343</v>
      </c>
      <c r="M93" s="2">
        <f t="shared" si="58"/>
        <v>2.1124864943664701</v>
      </c>
      <c r="N93" s="2">
        <f t="shared" si="58"/>
        <v>2.35880730490591</v>
      </c>
      <c r="O93" s="2">
        <f t="shared" si="58"/>
        <v>2.653029528658132</v>
      </c>
      <c r="P93" s="2">
        <f t="shared" si="58"/>
        <v>3.0061811739377502</v>
      </c>
      <c r="Q93" s="2">
        <f t="shared" si="58"/>
        <v>3.2090433048233491</v>
      </c>
    </row>
    <row r="94" spans="2:17" x14ac:dyDescent="0.25">
      <c r="B94" s="3" t="s">
        <v>54</v>
      </c>
      <c r="C94" s="3" t="s">
        <v>43</v>
      </c>
      <c r="D94" s="2">
        <f t="shared" ref="D94:Q94" si="59">D93*EXP(-D$18/($D$13*0.7)*12)</f>
        <v>1.4122451710003301</v>
      </c>
      <c r="E94" s="2">
        <f t="shared" si="59"/>
        <v>0.63583446490897044</v>
      </c>
      <c r="F94" s="2">
        <f t="shared" si="59"/>
        <v>0.70872575594168308</v>
      </c>
      <c r="G94" s="2">
        <f t="shared" si="59"/>
        <v>0.79366550860955032</v>
      </c>
      <c r="H94" s="2">
        <f t="shared" si="59"/>
        <v>0.8932608854800238</v>
      </c>
      <c r="I94" s="2">
        <f t="shared" si="59"/>
        <v>1.010787114197818</v>
      </c>
      <c r="J94" s="2">
        <f t="shared" si="59"/>
        <v>1.1503775416635056</v>
      </c>
      <c r="K94" s="2">
        <f t="shared" si="59"/>
        <v>1.3172715340755672</v>
      </c>
      <c r="L94" s="2">
        <f t="shared" si="59"/>
        <v>1.518138656080368</v>
      </c>
      <c r="M94" s="2">
        <f t="shared" si="59"/>
        <v>1.7615036308405796</v>
      </c>
      <c r="N94" s="2">
        <f t="shared" si="59"/>
        <v>2.0583046978111126</v>
      </c>
      <c r="O94" s="2">
        <f t="shared" si="59"/>
        <v>2.4226288491632921</v>
      </c>
      <c r="P94" s="2">
        <f t="shared" si="59"/>
        <v>2.8726819866595124</v>
      </c>
      <c r="Q94" s="2">
        <f t="shared" si="59"/>
        <v>3.1369802032549146</v>
      </c>
    </row>
    <row r="95" spans="2:17" x14ac:dyDescent="0.25">
      <c r="B95" s="3" t="s">
        <v>55</v>
      </c>
      <c r="C95" s="3" t="s">
        <v>47</v>
      </c>
      <c r="D95" s="2">
        <f t="shared" ref="D95:Q95" si="60">D93*EXP(-D$18/(0.7*$D$13)*$C$65)</f>
        <v>1.5349749952770593</v>
      </c>
      <c r="E95" s="2">
        <f t="shared" si="60"/>
        <v>0.76252566060960525</v>
      </c>
      <c r="F95" s="2">
        <f t="shared" si="60"/>
        <v>0.83716824716453864</v>
      </c>
      <c r="G95" s="2">
        <f t="shared" si="60"/>
        <v>0.92341339967617186</v>
      </c>
      <c r="H95" s="2">
        <f t="shared" si="60"/>
        <v>1.0236726875752196</v>
      </c>
      <c r="I95" s="2">
        <f t="shared" si="60"/>
        <v>1.140950042928909</v>
      </c>
      <c r="J95" s="2">
        <f t="shared" si="60"/>
        <v>1.2790026971020039</v>
      </c>
      <c r="K95" s="2">
        <f t="shared" si="60"/>
        <v>1.4425487743903769</v>
      </c>
      <c r="L95" s="2">
        <f t="shared" si="60"/>
        <v>1.6375356795831435</v>
      </c>
      <c r="M95" s="2">
        <f t="shared" si="60"/>
        <v>1.8714878365236147</v>
      </c>
      <c r="N95" s="2">
        <f t="shared" si="60"/>
        <v>2.1539581692377539</v>
      </c>
      <c r="O95" s="2">
        <f t="shared" si="60"/>
        <v>2.4971154266968179</v>
      </c>
      <c r="P95" s="2">
        <f t="shared" si="60"/>
        <v>2.9165096494665956</v>
      </c>
      <c r="Q95" s="2">
        <f t="shared" si="60"/>
        <v>3.1608196111616977</v>
      </c>
    </row>
    <row r="96" spans="2:17" x14ac:dyDescent="0.25">
      <c r="B96" s="3" t="s">
        <v>55</v>
      </c>
      <c r="C96" s="3" t="s">
        <v>30</v>
      </c>
      <c r="D96" s="2">
        <f>D95+D$66</f>
        <v>1.8781821529655247</v>
      </c>
      <c r="E96" s="2">
        <f>E95+E$66</f>
        <v>1.1057328182980706</v>
      </c>
      <c r="F96" s="2">
        <f t="shared" ref="F96:Q96" si="61">F95+F$66</f>
        <v>1.180375404853004</v>
      </c>
      <c r="G96" s="2">
        <f t="shared" si="61"/>
        <v>1.2666205573646372</v>
      </c>
      <c r="H96" s="2">
        <f t="shared" si="61"/>
        <v>1.366879845263685</v>
      </c>
      <c r="I96" s="2">
        <f t="shared" si="61"/>
        <v>1.4841572006173744</v>
      </c>
      <c r="J96" s="2">
        <f t="shared" si="61"/>
        <v>1.6222098547904693</v>
      </c>
      <c r="K96" s="2">
        <f t="shared" si="61"/>
        <v>1.7857559320788423</v>
      </c>
      <c r="L96" s="2">
        <f t="shared" si="61"/>
        <v>1.9807428372716089</v>
      </c>
      <c r="M96" s="2">
        <f t="shared" si="61"/>
        <v>2.2146949942120799</v>
      </c>
      <c r="N96" s="2">
        <f t="shared" si="61"/>
        <v>2.4971653269262193</v>
      </c>
      <c r="O96" s="2">
        <f t="shared" si="61"/>
        <v>2.8403225843852833</v>
      </c>
      <c r="P96" s="2">
        <f t="shared" si="61"/>
        <v>3.2597168071550611</v>
      </c>
      <c r="Q96" s="2">
        <f t="shared" si="61"/>
        <v>3.5040267688501632</v>
      </c>
    </row>
    <row r="97" spans="2:17" x14ac:dyDescent="0.25">
      <c r="B97" s="3" t="s">
        <v>55</v>
      </c>
      <c r="C97" s="3" t="s">
        <v>43</v>
      </c>
      <c r="D97" s="2">
        <f t="shared" ref="D97:Q97" si="62">D96*EXP(-D$18/($D$13*0.7)*12)</f>
        <v>1.4627297314802878</v>
      </c>
      <c r="E97" s="2">
        <f t="shared" si="62"/>
        <v>0.64109000282535988</v>
      </c>
      <c r="F97" s="2">
        <f t="shared" si="62"/>
        <v>0.71617071140212363</v>
      </c>
      <c r="G97" s="2">
        <f t="shared" si="62"/>
        <v>0.80421197648586262</v>
      </c>
      <c r="H97" s="2">
        <f t="shared" si="62"/>
        <v>0.90820093250342226</v>
      </c>
      <c r="I97" s="2">
        <f t="shared" si="62"/>
        <v>1.0319510723759564</v>
      </c>
      <c r="J97" s="2">
        <f t="shared" si="62"/>
        <v>1.1803582455437873</v>
      </c>
      <c r="K97" s="2">
        <f t="shared" si="62"/>
        <v>1.3597419735647933</v>
      </c>
      <c r="L97" s="2">
        <f t="shared" si="62"/>
        <v>1.5783019610384725</v>
      </c>
      <c r="M97" s="2">
        <f t="shared" si="62"/>
        <v>1.8467305158696383</v>
      </c>
      <c r="N97" s="2">
        <f t="shared" si="62"/>
        <v>2.1790364617461986</v>
      </c>
      <c r="O97" s="2">
        <f t="shared" si="62"/>
        <v>2.5936565573554589</v>
      </c>
      <c r="P97" s="2">
        <f t="shared" si="62"/>
        <v>3.1149585509710565</v>
      </c>
      <c r="Q97" s="2">
        <f t="shared" si="62"/>
        <v>3.4253394427668327</v>
      </c>
    </row>
    <row r="98" spans="2:17" x14ac:dyDescent="0.25">
      <c r="B98" s="3" t="s">
        <v>56</v>
      </c>
      <c r="C98" s="3" t="s">
        <v>47</v>
      </c>
      <c r="D98" s="2">
        <f t="shared" ref="D98:Q98" si="63">D96*EXP(-D$18/(0.7*$D$13)*$C$65)</f>
        <v>1.5898468685010245</v>
      </c>
      <c r="E98" s="2">
        <f t="shared" si="63"/>
        <v>0.76882837419737449</v>
      </c>
      <c r="F98" s="2">
        <f t="shared" si="63"/>
        <v>0.84596245318962338</v>
      </c>
      <c r="G98" s="2">
        <f t="shared" si="63"/>
        <v>0.93568399686175796</v>
      </c>
      <c r="H98" s="2">
        <f t="shared" si="63"/>
        <v>1.0407939097596253</v>
      </c>
      <c r="I98" s="2">
        <f t="shared" si="63"/>
        <v>1.1648393650747064</v>
      </c>
      <c r="J98" s="2">
        <f t="shared" si="63"/>
        <v>1.3123355810771618</v>
      </c>
      <c r="K98" s="2">
        <f t="shared" si="63"/>
        <v>1.4890583047705339</v>
      </c>
      <c r="L98" s="2">
        <f t="shared" si="63"/>
        <v>1.7024306469011499</v>
      </c>
      <c r="M98" s="2">
        <f t="shared" si="63"/>
        <v>1.9620360908014485</v>
      </c>
      <c r="N98" s="2">
        <f t="shared" si="63"/>
        <v>2.2803005759237083</v>
      </c>
      <c r="O98" s="2">
        <f t="shared" si="63"/>
        <v>2.6734015832274647</v>
      </c>
      <c r="P98" s="2">
        <f t="shared" si="63"/>
        <v>3.1624825559475886</v>
      </c>
      <c r="Q98" s="2">
        <f t="shared" si="63"/>
        <v>3.4513702299903493</v>
      </c>
    </row>
    <row r="99" spans="2:17" x14ac:dyDescent="0.25">
      <c r="B99" s="3" t="s">
        <v>56</v>
      </c>
      <c r="C99" s="3" t="s">
        <v>30</v>
      </c>
      <c r="D99" s="2">
        <f>D98+D$66</f>
        <v>1.93305402618949</v>
      </c>
      <c r="E99" s="2">
        <f>E98+E$66</f>
        <v>1.1120355318858399</v>
      </c>
      <c r="F99" s="2">
        <f t="shared" ref="F99:Q99" si="64">F98+F$66</f>
        <v>1.1891696108780887</v>
      </c>
      <c r="G99" s="2">
        <f t="shared" si="64"/>
        <v>1.2788911545502233</v>
      </c>
      <c r="H99" s="2">
        <f t="shared" si="64"/>
        <v>1.3840010674480907</v>
      </c>
      <c r="I99" s="2">
        <f t="shared" si="64"/>
        <v>1.5080465227631719</v>
      </c>
      <c r="J99" s="2">
        <f t="shared" si="64"/>
        <v>1.6555427387656272</v>
      </c>
      <c r="K99" s="2">
        <f t="shared" si="64"/>
        <v>1.8322654624589993</v>
      </c>
      <c r="L99" s="2">
        <f t="shared" si="64"/>
        <v>2.0456378045896151</v>
      </c>
      <c r="M99" s="2">
        <f t="shared" si="64"/>
        <v>2.3052432484899139</v>
      </c>
      <c r="N99" s="2">
        <f t="shared" si="64"/>
        <v>2.6235077336121737</v>
      </c>
      <c r="O99" s="2">
        <f t="shared" si="64"/>
        <v>3.0166087409159301</v>
      </c>
      <c r="P99" s="2">
        <f t="shared" si="64"/>
        <v>3.5056897136360541</v>
      </c>
      <c r="Q99" s="2">
        <f t="shared" si="64"/>
        <v>3.7945773876788147</v>
      </c>
    </row>
    <row r="100" spans="2:17" x14ac:dyDescent="0.25">
      <c r="B100" s="3" t="s">
        <v>56</v>
      </c>
      <c r="C100" s="3" t="s">
        <v>43</v>
      </c>
      <c r="D100" s="2">
        <f t="shared" ref="D100:Q100" si="65">D99*EXP(-D$18/($D$13*0.7)*12)</f>
        <v>1.5054639893157067</v>
      </c>
      <c r="E100" s="2">
        <f t="shared" si="65"/>
        <v>0.64474423701731398</v>
      </c>
      <c r="F100" s="2">
        <f t="shared" si="65"/>
        <v>0.72150643151227467</v>
      </c>
      <c r="G100" s="2">
        <f t="shared" si="65"/>
        <v>0.81200291368319821</v>
      </c>
      <c r="H100" s="2">
        <f t="shared" si="65"/>
        <v>0.91957684824858121</v>
      </c>
      <c r="I100" s="2">
        <f t="shared" si="65"/>
        <v>1.0485615847909724</v>
      </c>
      <c r="J100" s="2">
        <f t="shared" si="65"/>
        <v>1.204612040040008</v>
      </c>
      <c r="K100" s="2">
        <f t="shared" si="65"/>
        <v>1.3951560855902065</v>
      </c>
      <c r="L100" s="2">
        <f t="shared" si="65"/>
        <v>1.6300117803306231</v>
      </c>
      <c r="M100" s="2">
        <f t="shared" si="65"/>
        <v>1.9222344677775129</v>
      </c>
      <c r="N100" s="2">
        <f t="shared" si="65"/>
        <v>2.2892833516356781</v>
      </c>
      <c r="O100" s="2">
        <f t="shared" si="65"/>
        <v>2.7546332535836648</v>
      </c>
      <c r="P100" s="2">
        <f t="shared" si="65"/>
        <v>3.3500082358603627</v>
      </c>
      <c r="Q100" s="2">
        <f t="shared" si="65"/>
        <v>3.7093653821921402</v>
      </c>
    </row>
    <row r="101" spans="2:17" x14ac:dyDescent="0.25">
      <c r="B101" s="3" t="s">
        <v>57</v>
      </c>
      <c r="C101" s="3" t="s">
        <v>47</v>
      </c>
      <c r="D101" s="2">
        <f t="shared" ref="D101:Q101" si="66">D99*EXP(-D$18/(0.7*$D$13)*$C$65)</f>
        <v>1.6362949063956258</v>
      </c>
      <c r="E101" s="2">
        <f t="shared" si="66"/>
        <v>0.77321072132547619</v>
      </c>
      <c r="F101" s="2">
        <f t="shared" si="66"/>
        <v>0.85226516677739261</v>
      </c>
      <c r="G101" s="2">
        <f t="shared" si="66"/>
        <v>0.94474859110960308</v>
      </c>
      <c r="H101" s="2">
        <f t="shared" si="66"/>
        <v>1.0538306546051337</v>
      </c>
      <c r="I101" s="2">
        <f t="shared" si="66"/>
        <v>1.1835888768035181</v>
      </c>
      <c r="J101" s="2">
        <f t="shared" si="66"/>
        <v>1.3393012227488224</v>
      </c>
      <c r="K101" s="2">
        <f t="shared" si="66"/>
        <v>1.5278404256748888</v>
      </c>
      <c r="L101" s="2">
        <f t="shared" si="66"/>
        <v>1.7582072874185037</v>
      </c>
      <c r="M101" s="2">
        <f t="shared" si="66"/>
        <v>2.0422543345399649</v>
      </c>
      <c r="N101" s="2">
        <f t="shared" si="66"/>
        <v>2.3956708558259172</v>
      </c>
      <c r="O101" s="2">
        <f t="shared" si="66"/>
        <v>2.8393276975924335</v>
      </c>
      <c r="P101" s="2">
        <f t="shared" si="66"/>
        <v>3.4011183246359646</v>
      </c>
      <c r="Q101" s="2">
        <f t="shared" si="66"/>
        <v>3.7375546179194248</v>
      </c>
    </row>
    <row r="102" spans="2:17" x14ac:dyDescent="0.25">
      <c r="B102" s="3" t="s">
        <v>57</v>
      </c>
      <c r="C102" s="3" t="s">
        <v>30</v>
      </c>
      <c r="D102" s="2">
        <f>D101+D$66</f>
        <v>1.9795020640840912</v>
      </c>
      <c r="E102" s="2">
        <f>E101+E$66</f>
        <v>1.1164178790139416</v>
      </c>
      <c r="F102" s="2">
        <f t="shared" ref="F102:Q102" si="67">F101+F$66</f>
        <v>1.195472324465858</v>
      </c>
      <c r="G102" s="2">
        <f t="shared" si="67"/>
        <v>1.2879557487980684</v>
      </c>
      <c r="H102" s="2">
        <f t="shared" si="67"/>
        <v>1.3970378122935991</v>
      </c>
      <c r="I102" s="2">
        <f t="shared" si="67"/>
        <v>1.5267960344919835</v>
      </c>
      <c r="J102" s="2">
        <f t="shared" si="67"/>
        <v>1.6825083804372878</v>
      </c>
      <c r="K102" s="2">
        <f t="shared" si="67"/>
        <v>1.8710475833633542</v>
      </c>
      <c r="L102" s="2">
        <f t="shared" si="67"/>
        <v>2.1014144451069692</v>
      </c>
      <c r="M102" s="2">
        <f t="shared" si="67"/>
        <v>2.3854614922284303</v>
      </c>
      <c r="N102" s="2">
        <f t="shared" si="67"/>
        <v>2.7388780135143826</v>
      </c>
      <c r="O102" s="2">
        <f t="shared" si="67"/>
        <v>3.182534855280899</v>
      </c>
      <c r="P102" s="2">
        <f t="shared" si="67"/>
        <v>3.7443254823244301</v>
      </c>
      <c r="Q102" s="2">
        <f t="shared" si="67"/>
        <v>4.0807617756078898</v>
      </c>
    </row>
    <row r="103" spans="2:17" x14ac:dyDescent="0.25">
      <c r="B103" s="3" t="s">
        <v>57</v>
      </c>
      <c r="C103" s="3" t="s">
        <v>43</v>
      </c>
      <c r="D103" s="2">
        <f t="shared" ref="D103:Q103" si="68">D102*EXP(-D$18/($D$13*0.7)*12)</f>
        <v>1.5416377576001525</v>
      </c>
      <c r="E103" s="2">
        <f t="shared" si="68"/>
        <v>0.64728506685092668</v>
      </c>
      <c r="F103" s="2">
        <f t="shared" si="68"/>
        <v>0.7253304851611041</v>
      </c>
      <c r="G103" s="2">
        <f t="shared" si="68"/>
        <v>0.81775827207661422</v>
      </c>
      <c r="H103" s="2">
        <f t="shared" si="68"/>
        <v>0.92823889990332331</v>
      </c>
      <c r="I103" s="2">
        <f t="shared" si="68"/>
        <v>1.0615983296364808</v>
      </c>
      <c r="J103" s="2">
        <f t="shared" si="68"/>
        <v>1.2242328784904284</v>
      </c>
      <c r="K103" s="2">
        <f t="shared" si="68"/>
        <v>1.4246862563544316</v>
      </c>
      <c r="L103" s="2">
        <f t="shared" si="68"/>
        <v>1.6744559047531247</v>
      </c>
      <c r="M103" s="2">
        <f t="shared" si="68"/>
        <v>1.9891247073041938</v>
      </c>
      <c r="N103" s="2">
        <f t="shared" si="68"/>
        <v>2.3899559197664488</v>
      </c>
      <c r="O103" s="2">
        <f t="shared" si="68"/>
        <v>2.9061496189870519</v>
      </c>
      <c r="P103" s="2">
        <f t="shared" si="68"/>
        <v>3.5780466122652639</v>
      </c>
      <c r="Q103" s="2">
        <f t="shared" si="68"/>
        <v>3.9891231399216056</v>
      </c>
    </row>
    <row r="104" spans="2:17" x14ac:dyDescent="0.25">
      <c r="B104" s="3" t="s">
        <v>58</v>
      </c>
      <c r="C104" s="3" t="s">
        <v>47</v>
      </c>
      <c r="D104" s="2">
        <f t="shared" ref="D104:Q104" si="69">D102*EXP(-D$18/(0.7*$D$13)*$C$65)</f>
        <v>1.6756123216304326</v>
      </c>
      <c r="E104" s="2">
        <f t="shared" si="69"/>
        <v>0.77625781621305756</v>
      </c>
      <c r="F104" s="2">
        <f t="shared" si="69"/>
        <v>0.8567822543298268</v>
      </c>
      <c r="G104" s="2">
        <f t="shared" si="69"/>
        <v>0.95144483153175508</v>
      </c>
      <c r="H104" s="2">
        <f t="shared" si="69"/>
        <v>1.0637573242281524</v>
      </c>
      <c r="I104" s="2">
        <f t="shared" si="69"/>
        <v>1.1983044132228171</v>
      </c>
      <c r="J104" s="2">
        <f t="shared" si="69"/>
        <v>1.3611158917497501</v>
      </c>
      <c r="K104" s="2">
        <f t="shared" si="69"/>
        <v>1.5601790214324947</v>
      </c>
      <c r="L104" s="2">
        <f t="shared" si="69"/>
        <v>1.8061468080928431</v>
      </c>
      <c r="M104" s="2">
        <f t="shared" si="69"/>
        <v>2.1133210456523326</v>
      </c>
      <c r="N104" s="2">
        <f t="shared" si="69"/>
        <v>2.5010218763886254</v>
      </c>
      <c r="O104" s="2">
        <f t="shared" si="69"/>
        <v>2.9955026121182398</v>
      </c>
      <c r="P104" s="2">
        <f t="shared" si="69"/>
        <v>3.6326358153718505</v>
      </c>
      <c r="Q104" s="2">
        <f t="shared" si="69"/>
        <v>4.0194383882053861</v>
      </c>
    </row>
    <row r="105" spans="2:17" x14ac:dyDescent="0.25">
      <c r="B105" s="3" t="s">
        <v>58</v>
      </c>
      <c r="C105" s="3" t="s">
        <v>30</v>
      </c>
      <c r="D105" s="2">
        <f>D104+D$66</f>
        <v>2.018819479318898</v>
      </c>
      <c r="E105" s="2">
        <f>E104+E$66</f>
        <v>1.119464973901523</v>
      </c>
      <c r="F105" s="2">
        <f t="shared" ref="F105:Q105" si="70">F104+F$66</f>
        <v>1.1999894120182921</v>
      </c>
      <c r="G105" s="2">
        <f t="shared" si="70"/>
        <v>1.2946519892202204</v>
      </c>
      <c r="H105" s="2">
        <f t="shared" si="70"/>
        <v>1.4069644819166178</v>
      </c>
      <c r="I105" s="2">
        <f t="shared" si="70"/>
        <v>1.5415115709112825</v>
      </c>
      <c r="J105" s="2">
        <f t="shared" si="70"/>
        <v>1.7043230494382156</v>
      </c>
      <c r="K105" s="2">
        <f t="shared" si="70"/>
        <v>1.9033861791209601</v>
      </c>
      <c r="L105" s="2">
        <f t="shared" si="70"/>
        <v>2.1493539657813083</v>
      </c>
      <c r="M105" s="2">
        <f t="shared" si="70"/>
        <v>2.456528203340798</v>
      </c>
      <c r="N105" s="2">
        <f t="shared" si="70"/>
        <v>2.8442290340770908</v>
      </c>
      <c r="O105" s="2">
        <f t="shared" si="70"/>
        <v>3.3387097698067052</v>
      </c>
      <c r="P105" s="2">
        <f t="shared" si="70"/>
        <v>3.975842973060316</v>
      </c>
      <c r="Q105" s="2">
        <f t="shared" si="70"/>
        <v>4.3626455458938516</v>
      </c>
    </row>
    <row r="106" spans="2:17" x14ac:dyDescent="0.25">
      <c r="B106" s="3" t="s">
        <v>58</v>
      </c>
      <c r="C106" s="3" t="s">
        <v>43</v>
      </c>
      <c r="D106" s="2">
        <f t="shared" ref="D106:Q106" si="71">D105*EXP(-D$18/($D$13*0.7)*12)</f>
        <v>1.5722581913733638</v>
      </c>
      <c r="E106" s="2">
        <f t="shared" si="71"/>
        <v>0.64905173420289641</v>
      </c>
      <c r="F106" s="2">
        <f t="shared" si="71"/>
        <v>0.72807114359281311</v>
      </c>
      <c r="G106" s="2">
        <f t="shared" si="71"/>
        <v>0.82200989795905532</v>
      </c>
      <c r="H106" s="2">
        <f t="shared" si="71"/>
        <v>0.93483451299946918</v>
      </c>
      <c r="I106" s="2">
        <f t="shared" si="71"/>
        <v>1.0718302064094845</v>
      </c>
      <c r="J106" s="2">
        <f t="shared" si="71"/>
        <v>1.2401057474370785</v>
      </c>
      <c r="K106" s="2">
        <f t="shared" si="71"/>
        <v>1.4493100838483557</v>
      </c>
      <c r="L106" s="2">
        <f t="shared" si="71"/>
        <v>1.7126552298082522</v>
      </c>
      <c r="M106" s="2">
        <f t="shared" si="71"/>
        <v>2.048383912032921</v>
      </c>
      <c r="N106" s="2">
        <f t="shared" si="71"/>
        <v>2.4818856420851891</v>
      </c>
      <c r="O106" s="2">
        <f t="shared" si="71"/>
        <v>3.0487616213635187</v>
      </c>
      <c r="P106" s="2">
        <f t="shared" si="71"/>
        <v>3.7992828208476017</v>
      </c>
      <c r="Q106" s="2">
        <f t="shared" si="71"/>
        <v>4.2646768557835344</v>
      </c>
    </row>
    <row r="107" spans="2:17" x14ac:dyDescent="0.25">
      <c r="B107" s="3" t="s">
        <v>59</v>
      </c>
      <c r="C107" s="3" t="s">
        <v>47</v>
      </c>
      <c r="D107" s="2">
        <f t="shared" ref="D107:Q107" si="72">D105*EXP(-D$18/(0.7*$D$13)*$C$65)</f>
        <v>1.7088937950966323</v>
      </c>
      <c r="E107" s="2">
        <f t="shared" si="72"/>
        <v>0.77837649530955955</v>
      </c>
      <c r="F107" s="2">
        <f t="shared" si="72"/>
        <v>0.86001960276272238</v>
      </c>
      <c r="G107" s="2">
        <f t="shared" si="72"/>
        <v>0.95639151028705871</v>
      </c>
      <c r="H107" s="2">
        <f t="shared" si="72"/>
        <v>1.0713158651808434</v>
      </c>
      <c r="I107" s="2">
        <f t="shared" si="72"/>
        <v>1.209853887963269</v>
      </c>
      <c r="J107" s="2">
        <f t="shared" si="72"/>
        <v>1.37876352607696</v>
      </c>
      <c r="K107" s="2">
        <f t="shared" si="72"/>
        <v>1.5871446631041553</v>
      </c>
      <c r="L107" s="2">
        <f t="shared" si="72"/>
        <v>1.8473503947765975</v>
      </c>
      <c r="M107" s="2">
        <f t="shared" si="72"/>
        <v>2.1762802578334357</v>
      </c>
      <c r="N107" s="2">
        <f t="shared" si="72"/>
        <v>2.597223753882655</v>
      </c>
      <c r="O107" s="2">
        <f t="shared" si="72"/>
        <v>3.1424993884875922</v>
      </c>
      <c r="P107" s="2">
        <f t="shared" si="72"/>
        <v>3.8572473596145551</v>
      </c>
      <c r="Q107" s="2">
        <f t="shared" si="72"/>
        <v>4.2970861681056682</v>
      </c>
    </row>
    <row r="108" spans="2:17" x14ac:dyDescent="0.25">
      <c r="B108" s="3" t="s">
        <v>59</v>
      </c>
      <c r="C108" s="3" t="s">
        <v>30</v>
      </c>
      <c r="D108" s="2">
        <f>D107+D$66</f>
        <v>2.0521009527850977</v>
      </c>
      <c r="E108" s="2">
        <f>E107+E$66</f>
        <v>1.121583652998025</v>
      </c>
      <c r="F108" s="2">
        <f t="shared" ref="F108:Q108" si="73">F107+F$66</f>
        <v>1.2032267604511877</v>
      </c>
      <c r="G108" s="2">
        <f t="shared" si="73"/>
        <v>1.299598667975524</v>
      </c>
      <c r="H108" s="2">
        <f t="shared" si="73"/>
        <v>1.4145230228693089</v>
      </c>
      <c r="I108" s="2">
        <f t="shared" si="73"/>
        <v>1.5530610456517344</v>
      </c>
      <c r="J108" s="2">
        <f t="shared" si="73"/>
        <v>1.7219706837654254</v>
      </c>
      <c r="K108" s="2">
        <f t="shared" si="73"/>
        <v>1.9303518207926207</v>
      </c>
      <c r="L108" s="2">
        <f t="shared" si="73"/>
        <v>2.1905575524650627</v>
      </c>
      <c r="M108" s="2">
        <f t="shared" si="73"/>
        <v>2.5194874155219011</v>
      </c>
      <c r="N108" s="2">
        <f t="shared" si="73"/>
        <v>2.9404309115711205</v>
      </c>
      <c r="O108" s="2">
        <f t="shared" si="73"/>
        <v>3.4857065461760577</v>
      </c>
      <c r="P108" s="2">
        <f t="shared" si="73"/>
        <v>4.2004545173030206</v>
      </c>
      <c r="Q108" s="2">
        <f t="shared" si="73"/>
        <v>4.6402933257941337</v>
      </c>
    </row>
    <row r="109" spans="2:17" x14ac:dyDescent="0.25">
      <c r="B109" s="3" t="s">
        <v>59</v>
      </c>
      <c r="C109" s="3" t="s">
        <v>43</v>
      </c>
      <c r="D109" s="2">
        <f t="shared" ref="D109:Q109" si="74">D108*EXP(-D$18/($D$13*0.7)*12)</f>
        <v>1.5981778289706101</v>
      </c>
      <c r="E109" s="2">
        <f t="shared" si="74"/>
        <v>0.65028011773776617</v>
      </c>
      <c r="F109" s="2">
        <f t="shared" si="74"/>
        <v>0.73003534423670247</v>
      </c>
      <c r="G109" s="2">
        <f t="shared" si="74"/>
        <v>0.8251506793680673</v>
      </c>
      <c r="H109" s="2">
        <f t="shared" si="74"/>
        <v>0.93985666177530025</v>
      </c>
      <c r="I109" s="2">
        <f t="shared" si="74"/>
        <v>1.0798606851477413</v>
      </c>
      <c r="J109" s="2">
        <f t="shared" si="74"/>
        <v>1.2529465834306155</v>
      </c>
      <c r="K109" s="2">
        <f t="shared" si="74"/>
        <v>1.4698427412884911</v>
      </c>
      <c r="L109" s="2">
        <f t="shared" si="74"/>
        <v>1.7454872059947049</v>
      </c>
      <c r="M109" s="2">
        <f t="shared" si="74"/>
        <v>2.1008826528048168</v>
      </c>
      <c r="N109" s="2">
        <f t="shared" si="74"/>
        <v>2.5658317855333541</v>
      </c>
      <c r="O109" s="2">
        <f t="shared" si="74"/>
        <v>3.1829925552146463</v>
      </c>
      <c r="P109" s="2">
        <f t="shared" si="74"/>
        <v>4.0139197638022432</v>
      </c>
      <c r="Q109" s="2">
        <f t="shared" si="74"/>
        <v>4.5360897057490499</v>
      </c>
    </row>
    <row r="110" spans="2:17" x14ac:dyDescent="0.25">
      <c r="B110" s="3" t="s">
        <v>60</v>
      </c>
      <c r="C110" s="3" t="s">
        <v>47</v>
      </c>
      <c r="D110" s="2">
        <f t="shared" ref="D110:Q110" si="75">D108*EXP(-D$18/(0.7*$D$13)*$C$65)</f>
        <v>1.7370659541632023</v>
      </c>
      <c r="E110" s="2">
        <f t="shared" si="75"/>
        <v>0.77984963654065431</v>
      </c>
      <c r="F110" s="2">
        <f t="shared" si="75"/>
        <v>0.86233977582873356</v>
      </c>
      <c r="G110" s="2">
        <f t="shared" si="75"/>
        <v>0.9600457444790127</v>
      </c>
      <c r="H110" s="2">
        <f t="shared" si="75"/>
        <v>1.0770712235742594</v>
      </c>
      <c r="I110" s="2">
        <f t="shared" si="75"/>
        <v>1.2189184822111141</v>
      </c>
      <c r="J110" s="2">
        <f t="shared" si="75"/>
        <v>1.3930401120445799</v>
      </c>
      <c r="K110" s="2">
        <f t="shared" si="75"/>
        <v>1.6096300497985783</v>
      </c>
      <c r="L110" s="2">
        <f t="shared" si="75"/>
        <v>1.8827645068020107</v>
      </c>
      <c r="M110" s="2">
        <f t="shared" si="75"/>
        <v>2.2320568983507898</v>
      </c>
      <c r="N110" s="2">
        <f t="shared" si="75"/>
        <v>2.6850710398789732</v>
      </c>
      <c r="O110" s="2">
        <f t="shared" si="75"/>
        <v>3.2808574105079016</v>
      </c>
      <c r="P110" s="2">
        <f t="shared" si="75"/>
        <v>4.075158955177959</v>
      </c>
      <c r="Q110" s="2">
        <f t="shared" si="75"/>
        <v>4.5705616136957143</v>
      </c>
    </row>
    <row r="111" spans="2:17" x14ac:dyDescent="0.25">
      <c r="B111" s="3" t="s">
        <v>60</v>
      </c>
      <c r="C111" s="3" t="s">
        <v>30</v>
      </c>
      <c r="D111" s="2">
        <f>D110+D$66</f>
        <v>2.0802731118516675</v>
      </c>
      <c r="E111" s="2">
        <f>E110+E$66</f>
        <v>1.1230567942291196</v>
      </c>
      <c r="F111" s="2">
        <f t="shared" ref="F111:Q111" si="76">F110+F$66</f>
        <v>1.2055469335171989</v>
      </c>
      <c r="G111" s="2">
        <f t="shared" si="76"/>
        <v>1.3032529021674781</v>
      </c>
      <c r="H111" s="2">
        <f t="shared" si="76"/>
        <v>1.4202783812627249</v>
      </c>
      <c r="I111" s="2">
        <f t="shared" si="76"/>
        <v>1.5621256398995795</v>
      </c>
      <c r="J111" s="2">
        <f t="shared" si="76"/>
        <v>1.7362472697330453</v>
      </c>
      <c r="K111" s="2">
        <f t="shared" si="76"/>
        <v>1.9528372074870437</v>
      </c>
      <c r="L111" s="2">
        <f t="shared" si="76"/>
        <v>2.2259716644904759</v>
      </c>
      <c r="M111" s="2">
        <f t="shared" si="76"/>
        <v>2.5752640560392552</v>
      </c>
      <c r="N111" s="2">
        <f t="shared" si="76"/>
        <v>3.0282781975674387</v>
      </c>
      <c r="O111" s="2">
        <f t="shared" si="76"/>
        <v>3.624064568196367</v>
      </c>
      <c r="P111" s="2">
        <f t="shared" si="76"/>
        <v>4.4183661128664244</v>
      </c>
      <c r="Q111" s="2">
        <f t="shared" si="76"/>
        <v>4.9137687713841798</v>
      </c>
    </row>
    <row r="112" spans="2:17" x14ac:dyDescent="0.25">
      <c r="B112" s="3" t="s">
        <v>60</v>
      </c>
      <c r="C112" s="3" t="s">
        <v>43</v>
      </c>
      <c r="D112" s="2">
        <f t="shared" ref="D112:Q112" si="77">D111*EXP(-D$18/($D$13*0.7)*12)</f>
        <v>1.620118328512467</v>
      </c>
      <c r="E112" s="2">
        <f t="shared" si="77"/>
        <v>0.65113422652460518</v>
      </c>
      <c r="F112" s="2">
        <f t="shared" si="77"/>
        <v>0.73144306587206487</v>
      </c>
      <c r="G112" s="2">
        <f t="shared" si="77"/>
        <v>0.82747085243407859</v>
      </c>
      <c r="H112" s="2">
        <f t="shared" si="77"/>
        <v>0.94368071542412957</v>
      </c>
      <c r="I112" s="2">
        <f t="shared" si="77"/>
        <v>1.0861633987355104</v>
      </c>
      <c r="J112" s="2">
        <f t="shared" si="77"/>
        <v>1.2633345649333363</v>
      </c>
      <c r="K112" s="2">
        <f t="shared" si="77"/>
        <v>1.4869639634728968</v>
      </c>
      <c r="L112" s="2">
        <f t="shared" si="77"/>
        <v>1.7737059941212532</v>
      </c>
      <c r="M112" s="2">
        <f t="shared" si="77"/>
        <v>2.1473921831849738</v>
      </c>
      <c r="N112" s="2">
        <f t="shared" si="77"/>
        <v>2.642487678992778</v>
      </c>
      <c r="O112" s="2">
        <f t="shared" si="77"/>
        <v>3.3093349619006007</v>
      </c>
      <c r="P112" s="2">
        <f t="shared" si="77"/>
        <v>4.222154290944613</v>
      </c>
      <c r="Q112" s="2">
        <f t="shared" si="77"/>
        <v>4.8034239164163992</v>
      </c>
    </row>
    <row r="113" spans="2:17" x14ac:dyDescent="0.25">
      <c r="B113" s="3" t="s">
        <v>61</v>
      </c>
      <c r="C113" s="3" t="s">
        <v>47</v>
      </c>
      <c r="D113" s="2">
        <f t="shared" ref="D113:Q113" si="78">D111*EXP(-D$18/(0.7*$D$13)*$C$65)</f>
        <v>1.760913171963765</v>
      </c>
      <c r="E113" s="2">
        <f t="shared" si="78"/>
        <v>0.78087392808642653</v>
      </c>
      <c r="F113" s="2">
        <f t="shared" si="78"/>
        <v>0.8640026190993384</v>
      </c>
      <c r="G113" s="2">
        <f t="shared" si="78"/>
        <v>0.96274521784087774</v>
      </c>
      <c r="H113" s="2">
        <f t="shared" si="78"/>
        <v>1.0814535707023611</v>
      </c>
      <c r="I113" s="2">
        <f t="shared" si="78"/>
        <v>1.2260328203714703</v>
      </c>
      <c r="J113" s="2">
        <f t="shared" si="78"/>
        <v>1.4045895867850315</v>
      </c>
      <c r="K113" s="2">
        <f t="shared" si="78"/>
        <v>1.6283795615273899</v>
      </c>
      <c r="L113" s="2">
        <f t="shared" si="78"/>
        <v>1.9132026174493784</v>
      </c>
      <c r="M113" s="2">
        <f t="shared" si="78"/>
        <v>2.281470376055263</v>
      </c>
      <c r="N113" s="2">
        <f t="shared" si="78"/>
        <v>2.7652892836174896</v>
      </c>
      <c r="O113" s="2">
        <f t="shared" si="78"/>
        <v>3.4110843633036056</v>
      </c>
      <c r="P113" s="2">
        <f t="shared" si="78"/>
        <v>4.2865704551571318</v>
      </c>
      <c r="Q113" s="2">
        <f t="shared" si="78"/>
        <v>4.8399274244633519</v>
      </c>
    </row>
    <row r="114" spans="2:17" x14ac:dyDescent="0.25">
      <c r="B114" s="3" t="s">
        <v>61</v>
      </c>
      <c r="C114" s="3" t="s">
        <v>30</v>
      </c>
      <c r="D114" s="2">
        <f>D113+D$66</f>
        <v>2.1041203296522304</v>
      </c>
      <c r="E114" s="2">
        <f>E113+E$66</f>
        <v>1.124081085774892</v>
      </c>
      <c r="F114" s="2">
        <f t="shared" ref="F114:Q114" si="79">F113+F$66</f>
        <v>1.2072097767878038</v>
      </c>
      <c r="G114" s="2">
        <f t="shared" si="79"/>
        <v>1.3059523755293432</v>
      </c>
      <c r="H114" s="2">
        <f t="shared" si="79"/>
        <v>1.4246607283908266</v>
      </c>
      <c r="I114" s="2">
        <f t="shared" si="79"/>
        <v>1.5692399780599358</v>
      </c>
      <c r="J114" s="2">
        <f t="shared" si="79"/>
        <v>1.747796744473497</v>
      </c>
      <c r="K114" s="2">
        <f t="shared" si="79"/>
        <v>1.9715867192158554</v>
      </c>
      <c r="L114" s="2">
        <f t="shared" si="79"/>
        <v>2.2564097751378438</v>
      </c>
      <c r="M114" s="2">
        <f t="shared" si="79"/>
        <v>2.6246775337437285</v>
      </c>
      <c r="N114" s="2">
        <f t="shared" si="79"/>
        <v>3.108496441305955</v>
      </c>
      <c r="O114" s="2">
        <f t="shared" si="79"/>
        <v>3.7542915209920711</v>
      </c>
      <c r="P114" s="2">
        <f t="shared" si="79"/>
        <v>4.6297776128455972</v>
      </c>
      <c r="Q114" s="2">
        <f t="shared" si="79"/>
        <v>5.1831345821518173</v>
      </c>
    </row>
    <row r="115" spans="2:17" x14ac:dyDescent="0.25">
      <c r="B115" s="3" t="s">
        <v>61</v>
      </c>
      <c r="C115" s="3" t="s">
        <v>43</v>
      </c>
      <c r="D115" s="2">
        <f t="shared" ref="D115:Q115" si="80">D114*EXP(-D$18/($D$13*0.7)*12)</f>
        <v>1.6386905604096196</v>
      </c>
      <c r="E115" s="2">
        <f t="shared" si="80"/>
        <v>0.65172809790031772</v>
      </c>
      <c r="F115" s="2">
        <f t="shared" si="80"/>
        <v>0.73245196494193976</v>
      </c>
      <c r="G115" s="2">
        <f t="shared" si="80"/>
        <v>0.82918482177966812</v>
      </c>
      <c r="H115" s="2">
        <f t="shared" si="80"/>
        <v>0.94659249421879599</v>
      </c>
      <c r="I115" s="2">
        <f t="shared" si="80"/>
        <v>1.091110077490814</v>
      </c>
      <c r="J115" s="2">
        <f t="shared" si="80"/>
        <v>1.271738235827909</v>
      </c>
      <c r="K115" s="2">
        <f t="shared" si="80"/>
        <v>1.5012405494405165</v>
      </c>
      <c r="L115" s="2">
        <f t="shared" si="80"/>
        <v>1.7979597886174741</v>
      </c>
      <c r="M115" s="2">
        <f t="shared" si="80"/>
        <v>2.1885957698687282</v>
      </c>
      <c r="N115" s="2">
        <f t="shared" si="80"/>
        <v>2.7124864396349624</v>
      </c>
      <c r="O115" s="2">
        <f t="shared" si="80"/>
        <v>3.4282524369507446</v>
      </c>
      <c r="P115" s="2">
        <f t="shared" si="80"/>
        <v>4.4241773802474187</v>
      </c>
      <c r="Q115" s="2">
        <f t="shared" si="80"/>
        <v>5.0667407792775885</v>
      </c>
    </row>
    <row r="116" spans="2:17" x14ac:dyDescent="0.25">
      <c r="B116" s="3" t="s">
        <v>62</v>
      </c>
      <c r="C116" s="3" t="s">
        <v>47</v>
      </c>
      <c r="D116" s="2">
        <f t="shared" ref="D116:Q116" si="81">D114*EXP(-D$18/(0.7*$D$13)*$C$65)</f>
        <v>1.7810994060214276</v>
      </c>
      <c r="E116" s="2">
        <f t="shared" si="81"/>
        <v>0.78158612943453554</v>
      </c>
      <c r="F116" s="2">
        <f t="shared" si="81"/>
        <v>0.86519436112199266</v>
      </c>
      <c r="G116" s="2">
        <f t="shared" si="81"/>
        <v>0.96473938571535711</v>
      </c>
      <c r="H116" s="2">
        <f t="shared" si="81"/>
        <v>1.0847904552260341</v>
      </c>
      <c r="I116" s="2">
        <f t="shared" si="81"/>
        <v>1.2316165018994034</v>
      </c>
      <c r="J116" s="2">
        <f t="shared" si="81"/>
        <v>1.4139328826600306</v>
      </c>
      <c r="K116" s="2">
        <f t="shared" si="81"/>
        <v>1.6440139019479638</v>
      </c>
      <c r="L116" s="2">
        <f t="shared" si="81"/>
        <v>1.9393638996838887</v>
      </c>
      <c r="M116" s="2">
        <f t="shared" si="81"/>
        <v>2.3252466192316654</v>
      </c>
      <c r="N116" s="2">
        <f t="shared" si="81"/>
        <v>2.8385410244710627</v>
      </c>
      <c r="O116" s="2">
        <f t="shared" si="81"/>
        <v>3.5336580961946789</v>
      </c>
      <c r="P116" s="2">
        <f t="shared" si="81"/>
        <v>4.4916757512194474</v>
      </c>
      <c r="Q116" s="2">
        <f t="shared" si="81"/>
        <v>5.1052453576838541</v>
      </c>
    </row>
    <row r="117" spans="2:17" x14ac:dyDescent="0.25">
      <c r="B117" s="3" t="s">
        <v>62</v>
      </c>
      <c r="C117" s="3" t="s">
        <v>30</v>
      </c>
      <c r="D117" s="2">
        <f>D116+D$66</f>
        <v>2.1243065637098928</v>
      </c>
      <c r="E117" s="2">
        <f>E116+E$66</f>
        <v>1.1247932871230009</v>
      </c>
      <c r="F117" s="2">
        <f t="shared" ref="F117:Q117" si="82">F116+F$66</f>
        <v>1.208401518810458</v>
      </c>
      <c r="G117" s="2">
        <f t="shared" si="82"/>
        <v>1.3079465434038224</v>
      </c>
      <c r="H117" s="2">
        <f t="shared" si="82"/>
        <v>1.4279976129144996</v>
      </c>
      <c r="I117" s="2">
        <f t="shared" si="82"/>
        <v>1.5748236595878689</v>
      </c>
      <c r="J117" s="2">
        <f t="shared" si="82"/>
        <v>1.757140040348496</v>
      </c>
      <c r="K117" s="2">
        <f t="shared" si="82"/>
        <v>1.9872210596364293</v>
      </c>
      <c r="L117" s="2">
        <f t="shared" si="82"/>
        <v>2.2825710573723539</v>
      </c>
      <c r="M117" s="2">
        <f t="shared" si="82"/>
        <v>2.6684537769201309</v>
      </c>
      <c r="N117" s="2">
        <f t="shared" si="82"/>
        <v>3.1817481821595281</v>
      </c>
      <c r="O117" s="2">
        <f t="shared" si="82"/>
        <v>3.8768652538831443</v>
      </c>
      <c r="P117" s="2">
        <f t="shared" si="82"/>
        <v>4.8348829089079128</v>
      </c>
      <c r="Q117" s="2">
        <f t="shared" si="82"/>
        <v>5.4484525153723196</v>
      </c>
    </row>
    <row r="118" spans="2:17" x14ac:dyDescent="0.25">
      <c r="B118" s="3" t="s">
        <v>62</v>
      </c>
      <c r="C118" s="3" t="s">
        <v>43</v>
      </c>
      <c r="D118" s="2">
        <f t="shared" ref="D118:Q118" si="83">D117*EXP(-D$18/($D$13*0.7)*12)</f>
        <v>1.6544116153009898</v>
      </c>
      <c r="E118" s="2">
        <f t="shared" si="83"/>
        <v>0.65214102329849311</v>
      </c>
      <c r="F118" s="2">
        <f t="shared" si="83"/>
        <v>0.73317503213620949</v>
      </c>
      <c r="G118" s="2">
        <f t="shared" si="83"/>
        <v>0.83045097341320573</v>
      </c>
      <c r="H118" s="2">
        <f t="shared" si="83"/>
        <v>0.94880963250388894</v>
      </c>
      <c r="I118" s="2">
        <f t="shared" si="83"/>
        <v>1.0949924735996355</v>
      </c>
      <c r="J118" s="2">
        <f t="shared" si="83"/>
        <v>1.2785366388175363</v>
      </c>
      <c r="K118" s="2">
        <f t="shared" si="83"/>
        <v>1.5131451263857587</v>
      </c>
      <c r="L118" s="2">
        <f t="shared" si="83"/>
        <v>1.818805706763458</v>
      </c>
      <c r="M118" s="2">
        <f t="shared" si="83"/>
        <v>2.2250987304819363</v>
      </c>
      <c r="N118" s="2">
        <f t="shared" si="83"/>
        <v>2.7764062019691589</v>
      </c>
      <c r="O118" s="2">
        <f t="shared" si="83"/>
        <v>3.5401813311616368</v>
      </c>
      <c r="P118" s="2">
        <f t="shared" si="83"/>
        <v>4.6201743129921251</v>
      </c>
      <c r="Q118" s="2">
        <f t="shared" si="83"/>
        <v>5.3261006647706397</v>
      </c>
    </row>
    <row r="119" spans="2:17" x14ac:dyDescent="0.25">
      <c r="B119" s="3" t="s">
        <v>63</v>
      </c>
      <c r="C119" s="3" t="s">
        <v>47</v>
      </c>
      <c r="D119" s="2">
        <f t="shared" ref="D119:Q119" si="84">D117*EXP(-D$18/(0.7*$D$13)*$C$65)</f>
        <v>1.7981866842456034</v>
      </c>
      <c r="E119" s="2">
        <f t="shared" si="84"/>
        <v>0.78208133098368604</v>
      </c>
      <c r="F119" s="2">
        <f t="shared" si="84"/>
        <v>0.86604846990883166</v>
      </c>
      <c r="G119" s="2">
        <f t="shared" si="84"/>
        <v>0.96621252694645188</v>
      </c>
      <c r="H119" s="2">
        <f t="shared" si="84"/>
        <v>1.0873312850596468</v>
      </c>
      <c r="I119" s="2">
        <f t="shared" si="84"/>
        <v>1.2359988490275051</v>
      </c>
      <c r="J119" s="2">
        <f t="shared" si="84"/>
        <v>1.4214914236127216</v>
      </c>
      <c r="K119" s="2">
        <f t="shared" si="84"/>
        <v>1.6570506467934722</v>
      </c>
      <c r="L119" s="2">
        <f t="shared" si="84"/>
        <v>1.9618492863783115</v>
      </c>
      <c r="M119" s="2">
        <f t="shared" si="84"/>
        <v>2.3640287401360203</v>
      </c>
      <c r="N119" s="2">
        <f t="shared" si="84"/>
        <v>2.9054312639977433</v>
      </c>
      <c r="O119" s="2">
        <f t="shared" si="84"/>
        <v>3.6490283760968878</v>
      </c>
      <c r="P119" s="2">
        <f t="shared" si="84"/>
        <v>4.6906629514283047</v>
      </c>
      <c r="Q119" s="2">
        <f t="shared" si="84"/>
        <v>5.3665762425789758</v>
      </c>
    </row>
    <row r="120" spans="2:17" x14ac:dyDescent="0.25">
      <c r="B120" s="3" t="s">
        <v>63</v>
      </c>
      <c r="C120" s="3" t="s">
        <v>30</v>
      </c>
      <c r="D120" s="2">
        <f>D119+D$66</f>
        <v>2.1413938419340686</v>
      </c>
      <c r="E120" s="2">
        <f>E119+E$66</f>
        <v>1.1252884886721515</v>
      </c>
      <c r="F120" s="2">
        <f t="shared" ref="F120:Q120" si="85">F119+F$66</f>
        <v>1.209255627597297</v>
      </c>
      <c r="G120" s="2">
        <f t="shared" si="85"/>
        <v>1.3094196846349173</v>
      </c>
      <c r="H120" s="2">
        <f t="shared" si="85"/>
        <v>1.4305384427481123</v>
      </c>
      <c r="I120" s="2">
        <f t="shared" si="85"/>
        <v>1.5792060067159706</v>
      </c>
      <c r="J120" s="2">
        <f t="shared" si="85"/>
        <v>1.7646985813011871</v>
      </c>
      <c r="K120" s="2">
        <f t="shared" si="85"/>
        <v>2.0002578044819375</v>
      </c>
      <c r="L120" s="2">
        <f t="shared" si="85"/>
        <v>2.3050564440667767</v>
      </c>
      <c r="M120" s="2">
        <f t="shared" si="85"/>
        <v>2.7072358978244857</v>
      </c>
      <c r="N120" s="2">
        <f t="shared" si="85"/>
        <v>3.2486384216862088</v>
      </c>
      <c r="O120" s="2">
        <f t="shared" si="85"/>
        <v>3.9922355337853532</v>
      </c>
      <c r="P120" s="2">
        <f t="shared" si="85"/>
        <v>5.0338701091167701</v>
      </c>
      <c r="Q120" s="2">
        <f t="shared" si="85"/>
        <v>5.7097834002674412</v>
      </c>
    </row>
    <row r="121" spans="2:17" x14ac:dyDescent="0.25">
      <c r="B121" s="3" t="s">
        <v>63</v>
      </c>
      <c r="C121" s="3" t="s">
        <v>43</v>
      </c>
      <c r="D121" s="2">
        <f t="shared" ref="D121:Q121" si="86">D120*EXP(-D$18/($D$13*0.7)*12)</f>
        <v>1.6677192009625368</v>
      </c>
      <c r="E121" s="2">
        <f t="shared" si="86"/>
        <v>0.6524281349382044</v>
      </c>
      <c r="F121" s="2">
        <f t="shared" si="86"/>
        <v>0.73369324667623659</v>
      </c>
      <c r="G121" s="2">
        <f t="shared" si="86"/>
        <v>0.83138631100441507</v>
      </c>
      <c r="H121" s="2">
        <f t="shared" si="86"/>
        <v>0.95049784528441639</v>
      </c>
      <c r="I121" s="2">
        <f t="shared" si="86"/>
        <v>1.0980395684872168</v>
      </c>
      <c r="J121" s="2">
        <f t="shared" si="86"/>
        <v>1.2840364119273118</v>
      </c>
      <c r="K121" s="2">
        <f t="shared" si="86"/>
        <v>1.523071796008777</v>
      </c>
      <c r="L121" s="2">
        <f t="shared" si="86"/>
        <v>1.8367225858487815</v>
      </c>
      <c r="M121" s="2">
        <f t="shared" si="86"/>
        <v>2.2574373262395424</v>
      </c>
      <c r="N121" s="2">
        <f t="shared" si="86"/>
        <v>2.8347748927770624</v>
      </c>
      <c r="O121" s="2">
        <f t="shared" si="86"/>
        <v>3.6455323517243454</v>
      </c>
      <c r="P121" s="2">
        <f t="shared" si="86"/>
        <v>4.8103248436958443</v>
      </c>
      <c r="Q121" s="2">
        <f t="shared" si="86"/>
        <v>5.5815630361206621</v>
      </c>
    </row>
    <row r="122" spans="2:17" x14ac:dyDescent="0.25">
      <c r="B122" s="3" t="s">
        <v>64</v>
      </c>
      <c r="C122" s="3" t="s">
        <v>47</v>
      </c>
      <c r="D122" s="2">
        <f t="shared" ref="D122:Q122" si="87">D120*EXP(-D$18/(0.7*$D$13)*$C$65)</f>
        <v>1.8126507529904894</v>
      </c>
      <c r="E122" s="2">
        <f t="shared" si="87"/>
        <v>0.78242565014979304</v>
      </c>
      <c r="F122" s="2">
        <f t="shared" si="87"/>
        <v>0.86666060055949967</v>
      </c>
      <c r="G122" s="2">
        <f t="shared" si="87"/>
        <v>0.96730077288327809</v>
      </c>
      <c r="H122" s="2">
        <f t="shared" si="87"/>
        <v>1.0892659688035933</v>
      </c>
      <c r="I122" s="2">
        <f t="shared" si="87"/>
        <v>1.2394383299963079</v>
      </c>
      <c r="J122" s="2">
        <f t="shared" si="87"/>
        <v>1.4276061332502898</v>
      </c>
      <c r="K122" s="2">
        <f t="shared" si="87"/>
        <v>1.6679213782471149</v>
      </c>
      <c r="L122" s="2">
        <f t="shared" si="87"/>
        <v>1.9811752739298998</v>
      </c>
      <c r="M122" s="2">
        <f t="shared" si="87"/>
        <v>2.3983864828911305</v>
      </c>
      <c r="N122" s="2">
        <f t="shared" si="87"/>
        <v>2.9665124627760857</v>
      </c>
      <c r="O122" s="2">
        <f t="shared" si="87"/>
        <v>3.7576185378776534</v>
      </c>
      <c r="P122" s="2">
        <f t="shared" si="87"/>
        <v>4.8837145527625259</v>
      </c>
      <c r="Q122" s="2">
        <f t="shared" si="87"/>
        <v>5.6239799942632214</v>
      </c>
    </row>
    <row r="123" spans="2:17" x14ac:dyDescent="0.25">
      <c r="B123" s="3" t="s">
        <v>64</v>
      </c>
      <c r="C123" s="3" t="s">
        <v>30</v>
      </c>
      <c r="D123" s="2">
        <f>D122+D$66</f>
        <v>2.1558579106789546</v>
      </c>
      <c r="E123" s="2">
        <f>E122+E$66</f>
        <v>1.1256328078382585</v>
      </c>
      <c r="F123" s="2">
        <f t="shared" ref="F123:Q123" si="88">F122+F$66</f>
        <v>1.2098677582479651</v>
      </c>
      <c r="G123" s="2">
        <f t="shared" si="88"/>
        <v>1.3105079305717435</v>
      </c>
      <c r="H123" s="2">
        <f t="shared" si="88"/>
        <v>1.4324731264920587</v>
      </c>
      <c r="I123" s="2">
        <f t="shared" si="88"/>
        <v>1.5826454876847733</v>
      </c>
      <c r="J123" s="2">
        <f t="shared" si="88"/>
        <v>1.7708132909387553</v>
      </c>
      <c r="K123" s="2">
        <f t="shared" si="88"/>
        <v>2.0111285359355802</v>
      </c>
      <c r="L123" s="2">
        <f t="shared" si="88"/>
        <v>2.324382431618365</v>
      </c>
      <c r="M123" s="2">
        <f t="shared" si="88"/>
        <v>2.741593640579596</v>
      </c>
      <c r="N123" s="2">
        <f t="shared" si="88"/>
        <v>3.3097196204645511</v>
      </c>
      <c r="O123" s="2">
        <f t="shared" si="88"/>
        <v>4.1008256955661189</v>
      </c>
      <c r="P123" s="2">
        <f t="shared" si="88"/>
        <v>5.2269217104509913</v>
      </c>
      <c r="Q123" s="2">
        <f t="shared" si="88"/>
        <v>5.9671871519516868</v>
      </c>
    </row>
    <row r="124" spans="2:17" x14ac:dyDescent="0.25">
      <c r="B124" s="3" t="s">
        <v>64</v>
      </c>
      <c r="C124" s="3" t="s">
        <v>43</v>
      </c>
      <c r="D124" s="2">
        <f t="shared" ref="D124:Q124" si="89">D123*EXP(-D$18/($D$13*0.7)*12)</f>
        <v>1.6789838290274526</v>
      </c>
      <c r="E124" s="2">
        <f t="shared" si="89"/>
        <v>0.65262776686693025</v>
      </c>
      <c r="F124" s="2">
        <f t="shared" si="89"/>
        <v>0.73406464550559014</v>
      </c>
      <c r="G124" s="2">
        <f t="shared" si="89"/>
        <v>0.83207726806386673</v>
      </c>
      <c r="H124" s="2">
        <f t="shared" si="89"/>
        <v>0.95178331422043139</v>
      </c>
      <c r="I124" s="2">
        <f t="shared" si="89"/>
        <v>1.1004310780070281</v>
      </c>
      <c r="J124" s="2">
        <f t="shared" si="89"/>
        <v>1.2884856192345513</v>
      </c>
      <c r="K124" s="2">
        <f t="shared" si="89"/>
        <v>1.5313491812747813</v>
      </c>
      <c r="L124" s="2">
        <f t="shared" si="89"/>
        <v>1.8521219822154964</v>
      </c>
      <c r="M124" s="2">
        <f t="shared" si="89"/>
        <v>2.2860866401035644</v>
      </c>
      <c r="N124" s="2">
        <f t="shared" si="89"/>
        <v>2.8880745913713106</v>
      </c>
      <c r="O124" s="2">
        <f t="shared" si="89"/>
        <v>3.7446920692561929</v>
      </c>
      <c r="P124" s="2">
        <f t="shared" si="89"/>
        <v>4.9948033649694512</v>
      </c>
      <c r="Q124" s="2">
        <f t="shared" si="89"/>
        <v>5.833186462972944</v>
      </c>
    </row>
    <row r="125" spans="2:17" x14ac:dyDescent="0.25">
      <c r="B125" s="3" t="s">
        <v>65</v>
      </c>
      <c r="C125" s="3" t="s">
        <v>47</v>
      </c>
      <c r="D125" s="2">
        <f t="shared" ref="D125:Q125" si="90">D123*EXP(-D$18/(0.7*$D$13)*$C$65)</f>
        <v>1.8248943228505969</v>
      </c>
      <c r="E125" s="2">
        <f t="shared" si="90"/>
        <v>0.78266505911035056</v>
      </c>
      <c r="F125" s="2">
        <f t="shared" si="90"/>
        <v>0.86709930806287761</v>
      </c>
      <c r="G125" s="2">
        <f t="shared" si="90"/>
        <v>0.96810468712722242</v>
      </c>
      <c r="H125" s="2">
        <f t="shared" si="90"/>
        <v>1.0907391100346882</v>
      </c>
      <c r="I125" s="2">
        <f t="shared" si="90"/>
        <v>1.2421378033581729</v>
      </c>
      <c r="J125" s="2">
        <f t="shared" si="90"/>
        <v>1.4325528120055935</v>
      </c>
      <c r="K125" s="2">
        <f t="shared" si="90"/>
        <v>1.6769859724949598</v>
      </c>
      <c r="L125" s="2">
        <f t="shared" si="90"/>
        <v>1.9977857863449158</v>
      </c>
      <c r="M125" s="2">
        <f t="shared" si="90"/>
        <v>2.4288245935384984</v>
      </c>
      <c r="N125" s="2">
        <f t="shared" si="90"/>
        <v>3.0222891032934398</v>
      </c>
      <c r="O125" s="2">
        <f t="shared" si="90"/>
        <v>3.8598270377232633</v>
      </c>
      <c r="P125" s="2">
        <f t="shared" si="90"/>
        <v>5.0710076084896771</v>
      </c>
      <c r="Q125" s="2">
        <f t="shared" si="90"/>
        <v>5.8775156274805322</v>
      </c>
    </row>
    <row r="126" spans="2:17" x14ac:dyDescent="0.25">
      <c r="B126" s="3" t="s">
        <v>65</v>
      </c>
      <c r="C126" s="3" t="s">
        <v>30</v>
      </c>
      <c r="D126" s="2">
        <f>D125+D$66</f>
        <v>2.1681014805390624</v>
      </c>
      <c r="E126" s="2">
        <f>E125+E$66</f>
        <v>1.125872216798816</v>
      </c>
      <c r="F126" s="2">
        <f t="shared" ref="F126:Q126" si="91">F125+F$66</f>
        <v>1.2103064657513429</v>
      </c>
      <c r="G126" s="2">
        <f t="shared" si="91"/>
        <v>1.3113118448156877</v>
      </c>
      <c r="H126" s="2">
        <f t="shared" si="91"/>
        <v>1.4339462677231536</v>
      </c>
      <c r="I126" s="2">
        <f t="shared" si="91"/>
        <v>1.5853449610466384</v>
      </c>
      <c r="J126" s="2">
        <f t="shared" si="91"/>
        <v>1.7757599696940589</v>
      </c>
      <c r="K126" s="2">
        <f t="shared" si="91"/>
        <v>2.0201931301834253</v>
      </c>
      <c r="L126" s="2">
        <f t="shared" si="91"/>
        <v>2.3409929440333812</v>
      </c>
      <c r="M126" s="2">
        <f t="shared" si="91"/>
        <v>2.7720317512269639</v>
      </c>
      <c r="N126" s="2">
        <f t="shared" si="91"/>
        <v>3.3654962609819052</v>
      </c>
      <c r="O126" s="2">
        <f t="shared" si="91"/>
        <v>4.2030341954117283</v>
      </c>
      <c r="P126" s="2">
        <f t="shared" si="91"/>
        <v>5.4142147661781426</v>
      </c>
      <c r="Q126" s="2">
        <f t="shared" si="91"/>
        <v>6.2207227851689977</v>
      </c>
    </row>
    <row r="127" spans="2:17" x14ac:dyDescent="0.25">
      <c r="H127" s="3" t="s">
        <v>66</v>
      </c>
    </row>
  </sheetData>
  <sheetProtection algorithmName="SHA-512" hashValue="QTQo2VmGo/hnp3rgNc4hhlSm2JZhC9k5It+Cvaiie4EaowYwl13m3KRHXfn37TsWdWpEmmzU/O0T6BkXDZ8EwQ==" saltValue="J4coR9u331/NhqCRVBH6gA==" spinCount="100000" sheet="1"/>
  <hyperlinks>
    <hyperlink ref="I2" r:id="rId1" xr:uid="{3A3A2C49-A1E4-4CA3-97E3-264FCCB265E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26F32D3-C949-421D-BB20-6769D276B9E3}">
          <x14:formula1>
            <xm:f>ParameterSelection!$D$2:$D$3</xm:f>
          </x14:formula1>
          <xm:sqref>D9</xm:sqref>
        </x14:dataValidation>
        <x14:dataValidation type="list" allowBlank="1" showInputMessage="1" showErrorMessage="1" xr:uid="{B4C772D4-2CFB-49DB-951B-960EE565E67A}">
          <x14:formula1>
            <xm:f>ParameterSelection!$B$2:$B$3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B3EE6-7F4B-428C-A361-0D2DF826FBF9}">
  <dimension ref="A1:P97"/>
  <sheetViews>
    <sheetView tabSelected="1" workbookViewId="0">
      <selection activeCell="E14" sqref="E14"/>
    </sheetView>
  </sheetViews>
  <sheetFormatPr defaultRowHeight="15" x14ac:dyDescent="0.25"/>
  <cols>
    <col min="1" max="1" width="11.7109375" bestFit="1" customWidth="1"/>
    <col min="2" max="2" width="51.140625" customWidth="1"/>
    <col min="3" max="3" width="34.85546875" customWidth="1"/>
    <col min="4" max="4" width="15.5703125" customWidth="1"/>
    <col min="5" max="5" width="25.42578125" customWidth="1"/>
    <col min="6" max="6" width="19.7109375" hidden="1" customWidth="1"/>
    <col min="7" max="7" width="11" hidden="1" customWidth="1"/>
    <col min="8" max="8" width="12.5703125" hidden="1" customWidth="1"/>
    <col min="9" max="9" width="13.85546875" hidden="1" customWidth="1"/>
    <col min="10" max="10" width="13.7109375" hidden="1" customWidth="1"/>
    <col min="11" max="11" width="12.85546875" bestFit="1" customWidth="1"/>
    <col min="12" max="12" width="29.7109375" bestFit="1" customWidth="1"/>
  </cols>
  <sheetData>
    <row r="1" spans="1:7" x14ac:dyDescent="0.25">
      <c r="B1" s="87" t="s">
        <v>263</v>
      </c>
      <c r="C1" s="88"/>
    </row>
    <row r="2" spans="1:7" x14ac:dyDescent="0.25">
      <c r="B2" s="87" t="s">
        <v>261</v>
      </c>
      <c r="C2" s="91" t="s">
        <v>266</v>
      </c>
      <c r="E2" s="90"/>
    </row>
    <row r="3" spans="1:7" ht="30" x14ac:dyDescent="0.25">
      <c r="B3" s="47" t="s">
        <v>241</v>
      </c>
      <c r="C3" s="40"/>
    </row>
    <row r="4" spans="1:7" x14ac:dyDescent="0.25">
      <c r="B4" s="39" t="s">
        <v>6</v>
      </c>
      <c r="C4" s="40"/>
      <c r="E4" s="90" t="s">
        <v>266</v>
      </c>
      <c r="F4" s="15"/>
      <c r="G4" s="15"/>
    </row>
    <row r="5" spans="1:7" x14ac:dyDescent="0.25">
      <c r="B5" s="38" t="s">
        <v>216</v>
      </c>
      <c r="C5" s="40"/>
      <c r="E5" s="23" t="s">
        <v>274</v>
      </c>
      <c r="F5" s="15"/>
      <c r="G5" s="15"/>
    </row>
    <row r="6" spans="1:7" x14ac:dyDescent="0.25">
      <c r="B6" s="39" t="s">
        <v>217</v>
      </c>
      <c r="C6" s="40"/>
      <c r="E6" s="3" t="s">
        <v>72</v>
      </c>
      <c r="F6" s="15"/>
      <c r="G6" s="15"/>
    </row>
    <row r="7" spans="1:7" x14ac:dyDescent="0.25">
      <c r="B7" s="39" t="s">
        <v>218</v>
      </c>
      <c r="C7" s="40" t="s">
        <v>12</v>
      </c>
      <c r="F7" s="15"/>
      <c r="G7" s="15"/>
    </row>
    <row r="8" spans="1:7" x14ac:dyDescent="0.25">
      <c r="B8" s="39" t="s">
        <v>219</v>
      </c>
      <c r="C8" s="40"/>
      <c r="F8" s="15"/>
      <c r="G8" s="15"/>
    </row>
    <row r="9" spans="1:7" x14ac:dyDescent="0.25">
      <c r="B9" s="49" t="s">
        <v>220</v>
      </c>
      <c r="C9" s="46" t="e">
        <f>IF(C7="Male",(140-C4)*C11/(72*C8), 0.85*(140-C4)*C11/(72*C8))</f>
        <v>#DIV/0!</v>
      </c>
      <c r="F9" s="15"/>
      <c r="G9" s="15"/>
    </row>
    <row r="10" spans="1:7" x14ac:dyDescent="0.25">
      <c r="B10" s="49" t="s">
        <v>17</v>
      </c>
      <c r="C10" s="51" t="e">
        <f>IF(C7="Male",9270*C6/(6680+(216*(C6/(C5*2.54/100)^2))),9270*C6/(8780+(244*(C6/(C5*2.54/100)^2))))</f>
        <v>#DIV/0!</v>
      </c>
      <c r="F10" s="15"/>
      <c r="G10" s="15"/>
    </row>
    <row r="11" spans="1:7" x14ac:dyDescent="0.25">
      <c r="B11" s="78" t="s">
        <v>19</v>
      </c>
      <c r="C11" s="51" t="e">
        <f>IF(C10&lt;C6,C10,C6)</f>
        <v>#DIV/0!</v>
      </c>
      <c r="F11" s="15"/>
      <c r="G11" s="15"/>
    </row>
    <row r="12" spans="1:7" hidden="1" x14ac:dyDescent="0.25">
      <c r="A12" t="s">
        <v>147</v>
      </c>
      <c r="B12" s="41" t="s">
        <v>159</v>
      </c>
      <c r="C12" s="42">
        <v>1</v>
      </c>
      <c r="F12" s="15"/>
      <c r="G12" s="15"/>
    </row>
    <row r="13" spans="1:7" x14ac:dyDescent="0.25">
      <c r="B13" s="30" t="s">
        <v>160</v>
      </c>
      <c r="C13" s="43">
        <v>0.7</v>
      </c>
      <c r="F13" s="15"/>
      <c r="G13" s="15"/>
    </row>
    <row r="14" spans="1:7" x14ac:dyDescent="0.25">
      <c r="B14" s="30" t="s">
        <v>161</v>
      </c>
      <c r="C14" s="43" t="e">
        <f>C13*C11</f>
        <v>#DIV/0!</v>
      </c>
      <c r="F14" s="15"/>
      <c r="G14" s="15"/>
    </row>
    <row r="15" spans="1:7" x14ac:dyDescent="0.25">
      <c r="B15" s="30" t="s">
        <v>229</v>
      </c>
      <c r="C15" s="44">
        <v>0.25</v>
      </c>
      <c r="F15" s="15"/>
      <c r="G15" s="15"/>
    </row>
    <row r="16" spans="1:7" x14ac:dyDescent="0.25">
      <c r="B16" s="30" t="s">
        <v>162</v>
      </c>
      <c r="C16" s="45" t="e">
        <f>C9*C15*(60/1000)</f>
        <v>#DIV/0!</v>
      </c>
    </row>
    <row r="17" spans="1:7" x14ac:dyDescent="0.25">
      <c r="B17" s="30" t="s">
        <v>163</v>
      </c>
      <c r="C17" s="45" t="e">
        <f>C16/C14</f>
        <v>#DIV/0!</v>
      </c>
    </row>
    <row r="18" spans="1:7" x14ac:dyDescent="0.25">
      <c r="B18" s="30" t="s">
        <v>164</v>
      </c>
      <c r="C18" s="46" t="e">
        <f>0.693/(24*C17)</f>
        <v>#DIV/0!</v>
      </c>
      <c r="F18">
        <v>20</v>
      </c>
    </row>
    <row r="19" spans="1:7" x14ac:dyDescent="0.25">
      <c r="B19" s="30" t="s">
        <v>165</v>
      </c>
      <c r="C19" s="46" t="e">
        <f>C18*3</f>
        <v>#DIV/0!</v>
      </c>
    </row>
    <row r="20" spans="1:7" ht="30" hidden="1" x14ac:dyDescent="0.25">
      <c r="A20" t="s">
        <v>238</v>
      </c>
      <c r="B20" s="47" t="s">
        <v>166</v>
      </c>
      <c r="C20" s="40" t="s">
        <v>167</v>
      </c>
      <c r="D20" t="s">
        <v>250</v>
      </c>
    </row>
    <row r="21" spans="1:7" hidden="1" x14ac:dyDescent="0.25">
      <c r="A21" t="s">
        <v>180</v>
      </c>
      <c r="B21" s="30" t="s">
        <v>168</v>
      </c>
      <c r="C21" s="43">
        <v>1</v>
      </c>
    </row>
    <row r="22" spans="1:7" hidden="1" x14ac:dyDescent="0.25">
      <c r="A22" t="s">
        <v>147</v>
      </c>
      <c r="B22" s="30" t="s">
        <v>230</v>
      </c>
      <c r="C22" s="43">
        <f>C3</f>
        <v>0</v>
      </c>
      <c r="E22" s="23"/>
    </row>
    <row r="23" spans="1:7" hidden="1" x14ac:dyDescent="0.25">
      <c r="A23" t="s">
        <v>180</v>
      </c>
      <c r="B23" s="39" t="s">
        <v>231</v>
      </c>
      <c r="C23" s="48">
        <v>1</v>
      </c>
      <c r="D23" t="s">
        <v>251</v>
      </c>
    </row>
    <row r="24" spans="1:7" hidden="1" x14ac:dyDescent="0.25">
      <c r="A24" t="s">
        <v>180</v>
      </c>
      <c r="B24" s="49" t="s">
        <v>242</v>
      </c>
      <c r="C24" s="50" t="e">
        <f>C23*C11*C13/C22</f>
        <v>#DIV/0!</v>
      </c>
      <c r="D24" t="s">
        <v>251</v>
      </c>
    </row>
    <row r="25" spans="1:7" hidden="1" x14ac:dyDescent="0.25">
      <c r="A25" t="s">
        <v>180</v>
      </c>
      <c r="B25" s="49" t="s">
        <v>243</v>
      </c>
      <c r="C25" s="50" t="e">
        <f>C24*300/C29</f>
        <v>#DIV/0!</v>
      </c>
      <c r="D25" t="s">
        <v>251</v>
      </c>
    </row>
    <row r="26" spans="1:7" hidden="1" x14ac:dyDescent="0.25">
      <c r="A26" t="s">
        <v>180</v>
      </c>
      <c r="B26" s="30" t="s">
        <v>232</v>
      </c>
      <c r="C26" s="51" t="e">
        <f>C24/C6</f>
        <v>#DIV/0!</v>
      </c>
      <c r="D26" t="s">
        <v>251</v>
      </c>
    </row>
    <row r="27" spans="1:7" ht="30" x14ac:dyDescent="0.25">
      <c r="B27" s="47" t="s">
        <v>233</v>
      </c>
      <c r="C27" s="48"/>
    </row>
    <row r="28" spans="1:7" x14ac:dyDescent="0.25">
      <c r="B28" s="39" t="s">
        <v>222</v>
      </c>
      <c r="C28" s="40" t="s">
        <v>70</v>
      </c>
      <c r="F28" s="15"/>
      <c r="G28" s="15"/>
    </row>
    <row r="29" spans="1:7" x14ac:dyDescent="0.25">
      <c r="B29" s="49" t="s">
        <v>240</v>
      </c>
      <c r="C29" s="42">
        <f>VLOOKUP(C28,ParameterSelection!B2:C3,2,FALSE)</f>
        <v>8</v>
      </c>
      <c r="F29" s="15"/>
      <c r="G29" s="15"/>
    </row>
    <row r="30" spans="1:7" x14ac:dyDescent="0.25">
      <c r="B30" s="39" t="s">
        <v>234</v>
      </c>
      <c r="C30" s="48"/>
    </row>
    <row r="31" spans="1:7" x14ac:dyDescent="0.25">
      <c r="B31" s="49" t="s">
        <v>235</v>
      </c>
      <c r="C31" s="50" t="e">
        <f>C27*C14*(1-EXP(-C17*C30))/(C21*C22*EXP(-C17*12))</f>
        <v>#DIV/0!</v>
      </c>
    </row>
    <row r="32" spans="1:7" x14ac:dyDescent="0.25">
      <c r="B32" s="49" t="s">
        <v>239</v>
      </c>
      <c r="C32" s="86" t="e">
        <f>C31*300/C29</f>
        <v>#DIV/0!</v>
      </c>
    </row>
    <row r="33" spans="1:16" x14ac:dyDescent="0.25">
      <c r="B33" s="39" t="s">
        <v>264</v>
      </c>
      <c r="C33" s="48"/>
    </row>
    <row r="34" spans="1:16" x14ac:dyDescent="0.25">
      <c r="B34" s="49" t="s">
        <v>245</v>
      </c>
      <c r="C34" s="85">
        <f>C33*C29/300</f>
        <v>0</v>
      </c>
    </row>
    <row r="35" spans="1:16" x14ac:dyDescent="0.25">
      <c r="B35" s="49" t="s">
        <v>244</v>
      </c>
      <c r="C35" s="83" t="e">
        <f>C21*C22*C34*EXP(-C17*12)/(C14*(1-EXP(-C17*C30)))</f>
        <v>#DIV/0!</v>
      </c>
    </row>
    <row r="36" spans="1:16" hidden="1" x14ac:dyDescent="0.25">
      <c r="A36" t="s">
        <v>180</v>
      </c>
      <c r="B36" s="41" t="s">
        <v>236</v>
      </c>
      <c r="C36" s="52" t="e">
        <f>C31/C6</f>
        <v>#DIV/0!</v>
      </c>
    </row>
    <row r="37" spans="1:16" ht="30" x14ac:dyDescent="0.25">
      <c r="B37" s="79" t="s">
        <v>269</v>
      </c>
      <c r="C37" s="54"/>
    </row>
    <row r="38" spans="1:16" x14ac:dyDescent="0.25">
      <c r="B38" s="53" t="s">
        <v>270</v>
      </c>
      <c r="C38" s="55"/>
    </row>
    <row r="39" spans="1:16" x14ac:dyDescent="0.25">
      <c r="B39" s="49" t="s">
        <v>237</v>
      </c>
      <c r="C39" s="80" t="e">
        <f>C21*C22*C34*EXP(-C17*12)/(C14*(1-EXP(-C17*C30)))</f>
        <v>#DIV/0!</v>
      </c>
    </row>
    <row r="40" spans="1:16" ht="30" x14ac:dyDescent="0.25">
      <c r="B40" s="56" t="s">
        <v>265</v>
      </c>
      <c r="C40" s="80" t="e">
        <f>(C$21*C$22*C$34*(1-EXP(-C17*C$38*C30))*EXP(-C17*12)/(C$14*(1-EXP(-C17*C30))))+C$37*EXP(-C17*C$38*C30)</f>
        <v>#DIV/0!</v>
      </c>
    </row>
    <row r="41" spans="1:16" ht="15.75" thickBot="1" x14ac:dyDescent="0.3">
      <c r="B41" s="57" t="s">
        <v>169</v>
      </c>
      <c r="C41" s="5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.75" thickBot="1" x14ac:dyDescent="0.3">
      <c r="B42" s="37" t="s">
        <v>267</v>
      </c>
      <c r="C42" s="59"/>
    </row>
    <row r="43" spans="1:16" ht="30" x14ac:dyDescent="0.25">
      <c r="B43" s="60" t="s">
        <v>271</v>
      </c>
      <c r="C43" s="81"/>
    </row>
    <row r="44" spans="1:16" x14ac:dyDescent="0.25">
      <c r="B44" s="39" t="s">
        <v>170</v>
      </c>
      <c r="C44" s="48"/>
    </row>
    <row r="45" spans="1:16" x14ac:dyDescent="0.25">
      <c r="B45" s="61" t="s">
        <v>171</v>
      </c>
      <c r="C45" s="44" t="e">
        <f>C44*C17</f>
        <v>#DIV/0!</v>
      </c>
    </row>
    <row r="46" spans="1:16" x14ac:dyDescent="0.25">
      <c r="B46" s="49" t="s">
        <v>246</v>
      </c>
      <c r="C46" s="80" t="e">
        <f>(C$21*C$22*C$34*(1-EXP(-C45*C$38*C30))*EXP(-C45*12)/(C$14*(1-EXP(-C45*C30))))+C$37*EXP(-C45*C$38*C30)</f>
        <v>#DIV/0!</v>
      </c>
    </row>
    <row r="47" spans="1:16" ht="45" x14ac:dyDescent="0.25">
      <c r="B47" s="62" t="s">
        <v>258</v>
      </c>
      <c r="C47" s="92" t="e">
        <f>C46-C43</f>
        <v>#DIV/0!</v>
      </c>
    </row>
    <row r="48" spans="1:16" ht="60" x14ac:dyDescent="0.25">
      <c r="B48" s="56" t="s">
        <v>259</v>
      </c>
      <c r="C48" s="63" t="e">
        <f>IF(C46&gt;C27,LN(C46/C27)/(C50*24),"")</f>
        <v>#DIV/0!</v>
      </c>
    </row>
    <row r="49" spans="1:4" x14ac:dyDescent="0.25">
      <c r="B49" s="30" t="s">
        <v>172</v>
      </c>
      <c r="C49" s="45" t="e">
        <f>C45*C14</f>
        <v>#DIV/0!</v>
      </c>
    </row>
    <row r="50" spans="1:4" x14ac:dyDescent="0.25">
      <c r="B50" s="30" t="s">
        <v>173</v>
      </c>
      <c r="C50" s="44" t="e">
        <f>C49/C14</f>
        <v>#DIV/0!</v>
      </c>
    </row>
    <row r="51" spans="1:4" x14ac:dyDescent="0.25">
      <c r="B51" s="30" t="s">
        <v>174</v>
      </c>
      <c r="C51" s="46" t="e">
        <f>0.693/(24*C50)</f>
        <v>#DIV/0!</v>
      </c>
    </row>
    <row r="52" spans="1:4" x14ac:dyDescent="0.25">
      <c r="B52" s="47" t="s">
        <v>272</v>
      </c>
      <c r="C52" s="84"/>
    </row>
    <row r="53" spans="1:4" ht="30" x14ac:dyDescent="0.25">
      <c r="B53" s="64" t="s">
        <v>253</v>
      </c>
      <c r="C53" s="46" t="e">
        <f>C27*C14*(1-EXP(-C45*C52))/(C21*C22*(EXP(-C45*12)))</f>
        <v>#DIV/0!</v>
      </c>
    </row>
    <row r="54" spans="1:4" x14ac:dyDescent="0.25">
      <c r="B54" s="64" t="s">
        <v>254</v>
      </c>
      <c r="C54" s="46" t="e">
        <f>C53*300/C34</f>
        <v>#DIV/0!</v>
      </c>
    </row>
    <row r="55" spans="1:4" ht="30" hidden="1" x14ac:dyDescent="0.25">
      <c r="A55" t="s">
        <v>147</v>
      </c>
      <c r="B55" s="65" t="s">
        <v>175</v>
      </c>
      <c r="C55" s="66" t="e">
        <f>IF(C46&lt;C27,(C27-C46)*C14/0.91,"")</f>
        <v>#DIV/0!</v>
      </c>
      <c r="D55" t="s">
        <v>250</v>
      </c>
    </row>
    <row r="56" spans="1:4" x14ac:dyDescent="0.25">
      <c r="B56" s="39" t="s">
        <v>273</v>
      </c>
      <c r="C56" s="48"/>
    </row>
    <row r="57" spans="1:4" x14ac:dyDescent="0.25">
      <c r="B57" s="49" t="s">
        <v>257</v>
      </c>
      <c r="C57" s="85">
        <f>C56*C29/300</f>
        <v>0</v>
      </c>
    </row>
    <row r="58" spans="1:4" x14ac:dyDescent="0.25">
      <c r="B58" s="49" t="s">
        <v>247</v>
      </c>
      <c r="C58" s="83" t="e">
        <f>C21*C22*C57*EXP(-C50*12)/(C14*(1-EXP(-C50*C52)))</f>
        <v>#DIV/0!</v>
      </c>
    </row>
    <row r="59" spans="1:4" ht="30" x14ac:dyDescent="0.25">
      <c r="B59" s="82" t="s">
        <v>252</v>
      </c>
      <c r="C59" s="52" t="e">
        <f>IF(AND(C46&lt;C58,C46/C58&lt;0.875),-LN(0.125/(1-C46/C58))/(C61*24),"")</f>
        <v>#DIV/0!</v>
      </c>
    </row>
    <row r="60" spans="1:4" x14ac:dyDescent="0.25">
      <c r="B60" s="30" t="s">
        <v>176</v>
      </c>
      <c r="C60" s="43">
        <f>IF(ISNUMBER(C56),C57,C34)</f>
        <v>0</v>
      </c>
    </row>
    <row r="61" spans="1:4" x14ac:dyDescent="0.25">
      <c r="B61" s="30" t="s">
        <v>177</v>
      </c>
      <c r="C61" s="45" t="e">
        <f>IF(ISNUMBER(C43),C49/C14,C17)</f>
        <v>#DIV/0!</v>
      </c>
    </row>
    <row r="62" spans="1:4" x14ac:dyDescent="0.25">
      <c r="B62" s="23" t="s">
        <v>178</v>
      </c>
    </row>
    <row r="63" spans="1:4" x14ac:dyDescent="0.25">
      <c r="B63" s="67" t="s">
        <v>260</v>
      </c>
      <c r="C63" s="67"/>
    </row>
    <row r="64" spans="1:4" ht="15.75" thickBot="1" x14ac:dyDescent="0.3">
      <c r="B64" s="68"/>
      <c r="C64" s="68"/>
    </row>
    <row r="65" spans="1:10" x14ac:dyDescent="0.25">
      <c r="B65" s="69" t="s">
        <v>179</v>
      </c>
      <c r="C65" s="70"/>
      <c r="F65" t="s">
        <v>180</v>
      </c>
      <c r="G65" t="s">
        <v>147</v>
      </c>
      <c r="H65" t="s">
        <v>180</v>
      </c>
    </row>
    <row r="66" spans="1:10" ht="30.75" thickBot="1" x14ac:dyDescent="0.3">
      <c r="B66" s="71" t="s">
        <v>268</v>
      </c>
      <c r="C66" s="72"/>
      <c r="F66" s="16" t="s">
        <v>181</v>
      </c>
    </row>
    <row r="67" spans="1:10" x14ac:dyDescent="0.25">
      <c r="B67" s="73" t="s">
        <v>248</v>
      </c>
      <c r="C67" s="74" t="str">
        <f>IF(ISNUMBER(C43),C43,"")</f>
        <v/>
      </c>
      <c r="F67" s="75" t="e">
        <f>IF(ISNUMBER(C58),C58,C39)</f>
        <v>#DIV/0!</v>
      </c>
    </row>
    <row r="68" spans="1:10" ht="63" customHeight="1" x14ac:dyDescent="0.25">
      <c r="A68" s="76" t="s">
        <v>255</v>
      </c>
      <c r="B68" s="30"/>
      <c r="C68" s="58" t="s">
        <v>30</v>
      </c>
      <c r="D68" s="77" t="s">
        <v>249</v>
      </c>
      <c r="E68" s="30" t="s">
        <v>256</v>
      </c>
      <c r="F68" t="s">
        <v>182</v>
      </c>
      <c r="G68" s="16" t="s">
        <v>183</v>
      </c>
      <c r="H68" s="16" t="s">
        <v>184</v>
      </c>
      <c r="I68" s="16" t="s">
        <v>185</v>
      </c>
      <c r="J68" s="16" t="s">
        <v>186</v>
      </c>
    </row>
    <row r="69" spans="1:10" x14ac:dyDescent="0.25">
      <c r="A69" s="30">
        <v>1</v>
      </c>
      <c r="B69" s="58" t="s">
        <v>187</v>
      </c>
      <c r="C69" s="51" t="e">
        <f>IF(ISNUMBER(C67),(C$21*C$22*C$60/(C$14))+C67,(C$21*C$22*C$60/(C$14)))</f>
        <v>#DIV/0!</v>
      </c>
      <c r="D69" s="51" t="e">
        <f t="shared" ref="D69:D97" si="0">C69*EXP(-C$61*C$30)</f>
        <v>#DIV/0!</v>
      </c>
      <c r="E69" s="51" t="e">
        <f>(C69*EXP(-C$61*12))</f>
        <v>#DIV/0!</v>
      </c>
      <c r="F69" t="e">
        <f>-LN(1-0.875)/(C61*24)</f>
        <v>#DIV/0!</v>
      </c>
      <c r="G69" s="75" t="e">
        <f>IF(F69&gt;0,F69,"")</f>
        <v>#DIV/0!</v>
      </c>
      <c r="H69" t="e">
        <f t="shared" ref="H69:H97" si="1">IF(F69&gt;0,-(LN(1-E69/F$67))/(C$61*24),"")</f>
        <v>#DIV/0!</v>
      </c>
      <c r="I69" s="75" t="e">
        <f t="shared" ref="I69:I97" si="2">IF(F69&gt;0,-LN((F$67-E69)/F$67)/(C$61*24),"")</f>
        <v>#DIV/0!</v>
      </c>
      <c r="J69" s="75" t="e">
        <f t="shared" ref="J69:J97" si="3">IF(F$69&gt;I69,F$69-I69,"")</f>
        <v>#DIV/0!</v>
      </c>
    </row>
    <row r="70" spans="1:10" x14ac:dyDescent="0.25">
      <c r="A70" s="30">
        <v>2</v>
      </c>
      <c r="B70" s="58" t="s">
        <v>188</v>
      </c>
      <c r="C70" s="51" t="e">
        <f t="shared" ref="C70:C97" si="4">(C$21*C$22*C$60/(C$14)+D69)</f>
        <v>#DIV/0!</v>
      </c>
      <c r="D70" s="51" t="e">
        <f t="shared" si="0"/>
        <v>#DIV/0!</v>
      </c>
      <c r="E70" s="51" t="e">
        <f t="shared" ref="E70:E97" si="5">(C70*EXP(-C$61*12))</f>
        <v>#DIV/0!</v>
      </c>
      <c r="F70" t="e">
        <f>F69-1</f>
        <v>#DIV/0!</v>
      </c>
      <c r="G70" s="75" t="e">
        <f t="shared" ref="G70:G97" si="6">IF(F70&gt;0,F70,"")</f>
        <v>#DIV/0!</v>
      </c>
      <c r="H70" t="e">
        <f t="shared" si="1"/>
        <v>#DIV/0!</v>
      </c>
      <c r="I70" s="75" t="e">
        <f t="shared" si="2"/>
        <v>#DIV/0!</v>
      </c>
      <c r="J70" s="75" t="e">
        <f t="shared" si="3"/>
        <v>#DIV/0!</v>
      </c>
    </row>
    <row r="71" spans="1:10" x14ac:dyDescent="0.25">
      <c r="A71" s="30">
        <v>3</v>
      </c>
      <c r="B71" s="58" t="s">
        <v>189</v>
      </c>
      <c r="C71" s="51" t="e">
        <f t="shared" si="4"/>
        <v>#DIV/0!</v>
      </c>
      <c r="D71" s="51" t="e">
        <f t="shared" si="0"/>
        <v>#DIV/0!</v>
      </c>
      <c r="E71" s="51" t="e">
        <f t="shared" si="5"/>
        <v>#DIV/0!</v>
      </c>
      <c r="F71" t="e">
        <f>F70-1</f>
        <v>#DIV/0!</v>
      </c>
      <c r="G71" s="75" t="e">
        <f t="shared" si="6"/>
        <v>#DIV/0!</v>
      </c>
      <c r="H71" t="e">
        <f t="shared" si="1"/>
        <v>#DIV/0!</v>
      </c>
      <c r="I71" s="75" t="e">
        <f t="shared" si="2"/>
        <v>#DIV/0!</v>
      </c>
      <c r="J71" s="75" t="e">
        <f t="shared" si="3"/>
        <v>#DIV/0!</v>
      </c>
    </row>
    <row r="72" spans="1:10" x14ac:dyDescent="0.25">
      <c r="A72" s="30">
        <v>4</v>
      </c>
      <c r="B72" s="58" t="s">
        <v>190</v>
      </c>
      <c r="C72" s="51" t="e">
        <f t="shared" si="4"/>
        <v>#DIV/0!</v>
      </c>
      <c r="D72" s="51" t="e">
        <f t="shared" si="0"/>
        <v>#DIV/0!</v>
      </c>
      <c r="E72" s="51" t="e">
        <f t="shared" si="5"/>
        <v>#DIV/0!</v>
      </c>
      <c r="F72" t="e">
        <f t="shared" ref="F72:F97" si="7">F71-1</f>
        <v>#DIV/0!</v>
      </c>
      <c r="G72" s="75" t="e">
        <f t="shared" si="6"/>
        <v>#DIV/0!</v>
      </c>
      <c r="H72" t="e">
        <f t="shared" si="1"/>
        <v>#DIV/0!</v>
      </c>
      <c r="I72" s="75" t="e">
        <f t="shared" si="2"/>
        <v>#DIV/0!</v>
      </c>
      <c r="J72" s="75" t="e">
        <f t="shared" si="3"/>
        <v>#DIV/0!</v>
      </c>
    </row>
    <row r="73" spans="1:10" x14ac:dyDescent="0.25">
      <c r="A73" s="30">
        <v>5</v>
      </c>
      <c r="B73" s="58" t="s">
        <v>191</v>
      </c>
      <c r="C73" s="51" t="e">
        <f t="shared" si="4"/>
        <v>#DIV/0!</v>
      </c>
      <c r="D73" s="51" t="e">
        <f t="shared" si="0"/>
        <v>#DIV/0!</v>
      </c>
      <c r="E73" s="51" t="e">
        <f t="shared" si="5"/>
        <v>#DIV/0!</v>
      </c>
      <c r="F73" t="e">
        <f t="shared" si="7"/>
        <v>#DIV/0!</v>
      </c>
      <c r="G73" s="75" t="e">
        <f t="shared" si="6"/>
        <v>#DIV/0!</v>
      </c>
      <c r="H73" t="e">
        <f t="shared" si="1"/>
        <v>#DIV/0!</v>
      </c>
      <c r="I73" s="75" t="e">
        <f t="shared" si="2"/>
        <v>#DIV/0!</v>
      </c>
      <c r="J73" s="75" t="e">
        <f t="shared" si="3"/>
        <v>#DIV/0!</v>
      </c>
    </row>
    <row r="74" spans="1:10" x14ac:dyDescent="0.25">
      <c r="A74" s="30">
        <v>6</v>
      </c>
      <c r="B74" s="58" t="s">
        <v>192</v>
      </c>
      <c r="C74" s="51" t="e">
        <f t="shared" si="4"/>
        <v>#DIV/0!</v>
      </c>
      <c r="D74" s="51" t="e">
        <f t="shared" si="0"/>
        <v>#DIV/0!</v>
      </c>
      <c r="E74" s="51" t="e">
        <f t="shared" si="5"/>
        <v>#DIV/0!</v>
      </c>
      <c r="F74" t="e">
        <f t="shared" si="7"/>
        <v>#DIV/0!</v>
      </c>
      <c r="G74" s="75" t="e">
        <f t="shared" si="6"/>
        <v>#DIV/0!</v>
      </c>
      <c r="H74" t="e">
        <f t="shared" si="1"/>
        <v>#DIV/0!</v>
      </c>
      <c r="I74" s="75" t="e">
        <f t="shared" si="2"/>
        <v>#DIV/0!</v>
      </c>
      <c r="J74" s="75" t="e">
        <f t="shared" si="3"/>
        <v>#DIV/0!</v>
      </c>
    </row>
    <row r="75" spans="1:10" x14ac:dyDescent="0.25">
      <c r="A75" s="30">
        <v>7</v>
      </c>
      <c r="B75" s="58" t="s">
        <v>193</v>
      </c>
      <c r="C75" s="51" t="e">
        <f t="shared" si="4"/>
        <v>#DIV/0!</v>
      </c>
      <c r="D75" s="51" t="e">
        <f t="shared" si="0"/>
        <v>#DIV/0!</v>
      </c>
      <c r="E75" s="51" t="e">
        <f t="shared" si="5"/>
        <v>#DIV/0!</v>
      </c>
      <c r="F75" t="e">
        <f t="shared" si="7"/>
        <v>#DIV/0!</v>
      </c>
      <c r="G75" s="75" t="e">
        <f t="shared" si="6"/>
        <v>#DIV/0!</v>
      </c>
      <c r="H75" t="e">
        <f t="shared" si="1"/>
        <v>#DIV/0!</v>
      </c>
      <c r="I75" s="75" t="e">
        <f t="shared" si="2"/>
        <v>#DIV/0!</v>
      </c>
      <c r="J75" s="75" t="e">
        <f t="shared" si="3"/>
        <v>#DIV/0!</v>
      </c>
    </row>
    <row r="76" spans="1:10" x14ac:dyDescent="0.25">
      <c r="A76" s="30">
        <v>8</v>
      </c>
      <c r="B76" s="58" t="s">
        <v>194</v>
      </c>
      <c r="C76" s="51" t="e">
        <f t="shared" si="4"/>
        <v>#DIV/0!</v>
      </c>
      <c r="D76" s="51" t="e">
        <f t="shared" si="0"/>
        <v>#DIV/0!</v>
      </c>
      <c r="E76" s="51" t="e">
        <f t="shared" si="5"/>
        <v>#DIV/0!</v>
      </c>
      <c r="F76" t="e">
        <f t="shared" si="7"/>
        <v>#DIV/0!</v>
      </c>
      <c r="G76" s="75" t="e">
        <f t="shared" si="6"/>
        <v>#DIV/0!</v>
      </c>
      <c r="H76" t="e">
        <f t="shared" si="1"/>
        <v>#DIV/0!</v>
      </c>
      <c r="I76" s="75" t="e">
        <f t="shared" si="2"/>
        <v>#DIV/0!</v>
      </c>
      <c r="J76" s="75" t="e">
        <f t="shared" si="3"/>
        <v>#DIV/0!</v>
      </c>
    </row>
    <row r="77" spans="1:10" x14ac:dyDescent="0.25">
      <c r="A77" s="30">
        <v>9</v>
      </c>
      <c r="B77" s="58" t="s">
        <v>195</v>
      </c>
      <c r="C77" s="51" t="e">
        <f t="shared" si="4"/>
        <v>#DIV/0!</v>
      </c>
      <c r="D77" s="51" t="e">
        <f t="shared" si="0"/>
        <v>#DIV/0!</v>
      </c>
      <c r="E77" s="51" t="e">
        <f t="shared" si="5"/>
        <v>#DIV/0!</v>
      </c>
      <c r="F77" t="e">
        <f t="shared" si="7"/>
        <v>#DIV/0!</v>
      </c>
      <c r="G77" s="75" t="e">
        <f t="shared" si="6"/>
        <v>#DIV/0!</v>
      </c>
      <c r="H77" t="e">
        <f t="shared" si="1"/>
        <v>#DIV/0!</v>
      </c>
      <c r="I77" s="75" t="e">
        <f t="shared" si="2"/>
        <v>#DIV/0!</v>
      </c>
      <c r="J77" s="75" t="e">
        <f t="shared" si="3"/>
        <v>#DIV/0!</v>
      </c>
    </row>
    <row r="78" spans="1:10" x14ac:dyDescent="0.25">
      <c r="A78" s="30">
        <v>10</v>
      </c>
      <c r="B78" s="58" t="s">
        <v>196</v>
      </c>
      <c r="C78" s="51" t="e">
        <f t="shared" si="4"/>
        <v>#DIV/0!</v>
      </c>
      <c r="D78" s="51" t="e">
        <f t="shared" si="0"/>
        <v>#DIV/0!</v>
      </c>
      <c r="E78" s="51" t="e">
        <f t="shared" si="5"/>
        <v>#DIV/0!</v>
      </c>
      <c r="F78" t="e">
        <f t="shared" si="7"/>
        <v>#DIV/0!</v>
      </c>
      <c r="G78" s="75" t="e">
        <f t="shared" si="6"/>
        <v>#DIV/0!</v>
      </c>
      <c r="H78" t="e">
        <f t="shared" si="1"/>
        <v>#DIV/0!</v>
      </c>
      <c r="I78" s="75" t="e">
        <f t="shared" si="2"/>
        <v>#DIV/0!</v>
      </c>
      <c r="J78" s="75" t="e">
        <f t="shared" si="3"/>
        <v>#DIV/0!</v>
      </c>
    </row>
    <row r="79" spans="1:10" x14ac:dyDescent="0.25">
      <c r="A79" s="30">
        <v>11</v>
      </c>
      <c r="B79" s="58" t="s">
        <v>197</v>
      </c>
      <c r="C79" s="51" t="e">
        <f t="shared" si="4"/>
        <v>#DIV/0!</v>
      </c>
      <c r="D79" s="51" t="e">
        <f t="shared" si="0"/>
        <v>#DIV/0!</v>
      </c>
      <c r="E79" s="51" t="e">
        <f t="shared" si="5"/>
        <v>#DIV/0!</v>
      </c>
      <c r="F79" t="e">
        <f t="shared" si="7"/>
        <v>#DIV/0!</v>
      </c>
      <c r="G79" s="75" t="e">
        <f t="shared" si="6"/>
        <v>#DIV/0!</v>
      </c>
      <c r="H79" t="e">
        <f t="shared" si="1"/>
        <v>#DIV/0!</v>
      </c>
      <c r="I79" s="75" t="e">
        <f t="shared" si="2"/>
        <v>#DIV/0!</v>
      </c>
      <c r="J79" s="75" t="e">
        <f t="shared" si="3"/>
        <v>#DIV/0!</v>
      </c>
    </row>
    <row r="80" spans="1:10" x14ac:dyDescent="0.25">
      <c r="A80" s="30">
        <v>12</v>
      </c>
      <c r="B80" s="58" t="s">
        <v>198</v>
      </c>
      <c r="C80" s="51" t="e">
        <f t="shared" si="4"/>
        <v>#DIV/0!</v>
      </c>
      <c r="D80" s="51" t="e">
        <f t="shared" si="0"/>
        <v>#DIV/0!</v>
      </c>
      <c r="E80" s="51" t="e">
        <f t="shared" si="5"/>
        <v>#DIV/0!</v>
      </c>
      <c r="F80" t="e">
        <f t="shared" si="7"/>
        <v>#DIV/0!</v>
      </c>
      <c r="G80" s="75" t="e">
        <f t="shared" si="6"/>
        <v>#DIV/0!</v>
      </c>
      <c r="H80" t="e">
        <f t="shared" si="1"/>
        <v>#DIV/0!</v>
      </c>
      <c r="I80" s="75" t="e">
        <f t="shared" si="2"/>
        <v>#DIV/0!</v>
      </c>
      <c r="J80" s="75" t="e">
        <f t="shared" si="3"/>
        <v>#DIV/0!</v>
      </c>
    </row>
    <row r="81" spans="1:10" x14ac:dyDescent="0.25">
      <c r="A81" s="30">
        <v>13</v>
      </c>
      <c r="B81" s="58" t="s">
        <v>199</v>
      </c>
      <c r="C81" s="51" t="e">
        <f t="shared" si="4"/>
        <v>#DIV/0!</v>
      </c>
      <c r="D81" s="51" t="e">
        <f t="shared" si="0"/>
        <v>#DIV/0!</v>
      </c>
      <c r="E81" s="51" t="e">
        <f t="shared" si="5"/>
        <v>#DIV/0!</v>
      </c>
      <c r="F81" t="e">
        <f t="shared" si="7"/>
        <v>#DIV/0!</v>
      </c>
      <c r="G81" s="75" t="e">
        <f t="shared" si="6"/>
        <v>#DIV/0!</v>
      </c>
      <c r="H81" t="e">
        <f t="shared" si="1"/>
        <v>#DIV/0!</v>
      </c>
      <c r="I81" s="75" t="e">
        <f t="shared" si="2"/>
        <v>#DIV/0!</v>
      </c>
      <c r="J81" s="75" t="e">
        <f t="shared" si="3"/>
        <v>#DIV/0!</v>
      </c>
    </row>
    <row r="82" spans="1:10" x14ac:dyDescent="0.25">
      <c r="A82" s="30">
        <v>14</v>
      </c>
      <c r="B82" s="58" t="s">
        <v>200</v>
      </c>
      <c r="C82" s="51" t="e">
        <f t="shared" si="4"/>
        <v>#DIV/0!</v>
      </c>
      <c r="D82" s="51" t="e">
        <f t="shared" si="0"/>
        <v>#DIV/0!</v>
      </c>
      <c r="E82" s="51" t="e">
        <f t="shared" si="5"/>
        <v>#DIV/0!</v>
      </c>
      <c r="F82" t="e">
        <f t="shared" si="7"/>
        <v>#DIV/0!</v>
      </c>
      <c r="G82" s="75" t="e">
        <f t="shared" si="6"/>
        <v>#DIV/0!</v>
      </c>
      <c r="H82" t="e">
        <f t="shared" si="1"/>
        <v>#DIV/0!</v>
      </c>
      <c r="I82" s="75" t="e">
        <f t="shared" si="2"/>
        <v>#DIV/0!</v>
      </c>
      <c r="J82" s="75" t="e">
        <f t="shared" si="3"/>
        <v>#DIV/0!</v>
      </c>
    </row>
    <row r="83" spans="1:10" x14ac:dyDescent="0.25">
      <c r="A83" s="30">
        <v>15</v>
      </c>
      <c r="B83" s="58" t="s">
        <v>201</v>
      </c>
      <c r="C83" s="51" t="e">
        <f t="shared" si="4"/>
        <v>#DIV/0!</v>
      </c>
      <c r="D83" s="51" t="e">
        <f t="shared" si="0"/>
        <v>#DIV/0!</v>
      </c>
      <c r="E83" s="51" t="e">
        <f t="shared" si="5"/>
        <v>#DIV/0!</v>
      </c>
      <c r="F83" t="e">
        <f t="shared" si="7"/>
        <v>#DIV/0!</v>
      </c>
      <c r="G83" s="75" t="e">
        <f t="shared" si="6"/>
        <v>#DIV/0!</v>
      </c>
      <c r="H83" t="e">
        <f t="shared" si="1"/>
        <v>#DIV/0!</v>
      </c>
      <c r="I83" s="75" t="e">
        <f t="shared" si="2"/>
        <v>#DIV/0!</v>
      </c>
      <c r="J83" s="75" t="e">
        <f t="shared" si="3"/>
        <v>#DIV/0!</v>
      </c>
    </row>
    <row r="84" spans="1:10" x14ac:dyDescent="0.25">
      <c r="A84" s="30">
        <v>16</v>
      </c>
      <c r="B84" s="58" t="s">
        <v>202</v>
      </c>
      <c r="C84" s="51" t="e">
        <f t="shared" si="4"/>
        <v>#DIV/0!</v>
      </c>
      <c r="D84" s="51" t="e">
        <f t="shared" si="0"/>
        <v>#DIV/0!</v>
      </c>
      <c r="E84" s="51" t="e">
        <f t="shared" si="5"/>
        <v>#DIV/0!</v>
      </c>
      <c r="F84" t="e">
        <f t="shared" si="7"/>
        <v>#DIV/0!</v>
      </c>
      <c r="G84" s="75" t="e">
        <f t="shared" si="6"/>
        <v>#DIV/0!</v>
      </c>
      <c r="H84" t="e">
        <f t="shared" si="1"/>
        <v>#DIV/0!</v>
      </c>
      <c r="I84" s="75" t="e">
        <f t="shared" si="2"/>
        <v>#DIV/0!</v>
      </c>
      <c r="J84" s="75" t="e">
        <f t="shared" si="3"/>
        <v>#DIV/0!</v>
      </c>
    </row>
    <row r="85" spans="1:10" x14ac:dyDescent="0.25">
      <c r="A85" s="30">
        <v>17</v>
      </c>
      <c r="B85" s="58" t="s">
        <v>203</v>
      </c>
      <c r="C85" s="51" t="e">
        <f t="shared" si="4"/>
        <v>#DIV/0!</v>
      </c>
      <c r="D85" s="51" t="e">
        <f t="shared" si="0"/>
        <v>#DIV/0!</v>
      </c>
      <c r="E85" s="51" t="e">
        <f t="shared" si="5"/>
        <v>#DIV/0!</v>
      </c>
      <c r="F85" t="e">
        <f t="shared" si="7"/>
        <v>#DIV/0!</v>
      </c>
      <c r="G85" s="75" t="e">
        <f t="shared" si="6"/>
        <v>#DIV/0!</v>
      </c>
      <c r="H85" t="e">
        <f t="shared" si="1"/>
        <v>#DIV/0!</v>
      </c>
      <c r="I85" s="75" t="e">
        <f t="shared" si="2"/>
        <v>#DIV/0!</v>
      </c>
      <c r="J85" s="75" t="e">
        <f t="shared" si="3"/>
        <v>#DIV/0!</v>
      </c>
    </row>
    <row r="86" spans="1:10" x14ac:dyDescent="0.25">
      <c r="A86" s="30">
        <v>18</v>
      </c>
      <c r="B86" s="58" t="s">
        <v>204</v>
      </c>
      <c r="C86" s="51" t="e">
        <f t="shared" si="4"/>
        <v>#DIV/0!</v>
      </c>
      <c r="D86" s="51" t="e">
        <f t="shared" si="0"/>
        <v>#DIV/0!</v>
      </c>
      <c r="E86" s="51" t="e">
        <f t="shared" si="5"/>
        <v>#DIV/0!</v>
      </c>
      <c r="F86" t="e">
        <f t="shared" si="7"/>
        <v>#DIV/0!</v>
      </c>
      <c r="G86" s="75" t="e">
        <f t="shared" si="6"/>
        <v>#DIV/0!</v>
      </c>
      <c r="H86" t="e">
        <f t="shared" si="1"/>
        <v>#DIV/0!</v>
      </c>
      <c r="I86" s="75" t="e">
        <f t="shared" si="2"/>
        <v>#DIV/0!</v>
      </c>
      <c r="J86" s="75" t="e">
        <f t="shared" si="3"/>
        <v>#DIV/0!</v>
      </c>
    </row>
    <row r="87" spans="1:10" x14ac:dyDescent="0.25">
      <c r="A87" s="30">
        <v>19</v>
      </c>
      <c r="B87" s="58" t="s">
        <v>205</v>
      </c>
      <c r="C87" s="51" t="e">
        <f t="shared" si="4"/>
        <v>#DIV/0!</v>
      </c>
      <c r="D87" s="51" t="e">
        <f t="shared" si="0"/>
        <v>#DIV/0!</v>
      </c>
      <c r="E87" s="51" t="e">
        <f t="shared" si="5"/>
        <v>#DIV/0!</v>
      </c>
      <c r="F87" t="e">
        <f t="shared" si="7"/>
        <v>#DIV/0!</v>
      </c>
      <c r="G87" s="75" t="e">
        <f t="shared" si="6"/>
        <v>#DIV/0!</v>
      </c>
      <c r="H87" t="e">
        <f t="shared" si="1"/>
        <v>#DIV/0!</v>
      </c>
      <c r="I87" s="75" t="e">
        <f t="shared" si="2"/>
        <v>#DIV/0!</v>
      </c>
      <c r="J87" s="75" t="e">
        <f t="shared" si="3"/>
        <v>#DIV/0!</v>
      </c>
    </row>
    <row r="88" spans="1:10" x14ac:dyDescent="0.25">
      <c r="A88" s="30">
        <v>20</v>
      </c>
      <c r="B88" s="58" t="s">
        <v>206</v>
      </c>
      <c r="C88" s="51" t="e">
        <f t="shared" si="4"/>
        <v>#DIV/0!</v>
      </c>
      <c r="D88" s="51" t="e">
        <f t="shared" si="0"/>
        <v>#DIV/0!</v>
      </c>
      <c r="E88" s="51" t="e">
        <f t="shared" si="5"/>
        <v>#DIV/0!</v>
      </c>
      <c r="F88" t="e">
        <f t="shared" si="7"/>
        <v>#DIV/0!</v>
      </c>
      <c r="G88" s="75" t="e">
        <f t="shared" si="6"/>
        <v>#DIV/0!</v>
      </c>
      <c r="H88" t="e">
        <f t="shared" si="1"/>
        <v>#DIV/0!</v>
      </c>
      <c r="I88" s="75" t="e">
        <f t="shared" si="2"/>
        <v>#DIV/0!</v>
      </c>
      <c r="J88" s="75" t="e">
        <f t="shared" si="3"/>
        <v>#DIV/0!</v>
      </c>
    </row>
    <row r="89" spans="1:10" x14ac:dyDescent="0.25">
      <c r="A89" s="30">
        <v>21</v>
      </c>
      <c r="B89" s="58" t="s">
        <v>207</v>
      </c>
      <c r="C89" s="51" t="e">
        <f t="shared" si="4"/>
        <v>#DIV/0!</v>
      </c>
      <c r="D89" s="51" t="e">
        <f t="shared" si="0"/>
        <v>#DIV/0!</v>
      </c>
      <c r="E89" s="51" t="e">
        <f t="shared" si="5"/>
        <v>#DIV/0!</v>
      </c>
      <c r="F89" t="e">
        <f t="shared" si="7"/>
        <v>#DIV/0!</v>
      </c>
      <c r="G89" s="75" t="e">
        <f t="shared" si="6"/>
        <v>#DIV/0!</v>
      </c>
      <c r="H89" t="e">
        <f t="shared" si="1"/>
        <v>#DIV/0!</v>
      </c>
      <c r="I89" s="75" t="e">
        <f t="shared" si="2"/>
        <v>#DIV/0!</v>
      </c>
      <c r="J89" s="75" t="e">
        <f t="shared" si="3"/>
        <v>#DIV/0!</v>
      </c>
    </row>
    <row r="90" spans="1:10" x14ac:dyDescent="0.25">
      <c r="A90" s="30">
        <v>22</v>
      </c>
      <c r="B90" s="58" t="s">
        <v>208</v>
      </c>
      <c r="C90" s="51" t="e">
        <f t="shared" si="4"/>
        <v>#DIV/0!</v>
      </c>
      <c r="D90" s="51" t="e">
        <f t="shared" si="0"/>
        <v>#DIV/0!</v>
      </c>
      <c r="E90" s="51" t="e">
        <f t="shared" si="5"/>
        <v>#DIV/0!</v>
      </c>
      <c r="F90" t="e">
        <f t="shared" si="7"/>
        <v>#DIV/0!</v>
      </c>
      <c r="G90" s="75" t="e">
        <f t="shared" si="6"/>
        <v>#DIV/0!</v>
      </c>
      <c r="H90" t="e">
        <f t="shared" si="1"/>
        <v>#DIV/0!</v>
      </c>
      <c r="I90" s="75" t="e">
        <f t="shared" si="2"/>
        <v>#DIV/0!</v>
      </c>
      <c r="J90" s="75" t="e">
        <f t="shared" si="3"/>
        <v>#DIV/0!</v>
      </c>
    </row>
    <row r="91" spans="1:10" x14ac:dyDescent="0.25">
      <c r="A91" s="30">
        <v>23</v>
      </c>
      <c r="B91" s="58" t="s">
        <v>209</v>
      </c>
      <c r="C91" s="51" t="e">
        <f t="shared" si="4"/>
        <v>#DIV/0!</v>
      </c>
      <c r="D91" s="51" t="e">
        <f t="shared" si="0"/>
        <v>#DIV/0!</v>
      </c>
      <c r="E91" s="51" t="e">
        <f t="shared" si="5"/>
        <v>#DIV/0!</v>
      </c>
      <c r="F91" t="e">
        <f t="shared" si="7"/>
        <v>#DIV/0!</v>
      </c>
      <c r="G91" s="75" t="e">
        <f t="shared" si="6"/>
        <v>#DIV/0!</v>
      </c>
      <c r="H91" t="e">
        <f t="shared" si="1"/>
        <v>#DIV/0!</v>
      </c>
      <c r="I91" s="75" t="e">
        <f t="shared" si="2"/>
        <v>#DIV/0!</v>
      </c>
      <c r="J91" s="75" t="e">
        <f t="shared" si="3"/>
        <v>#DIV/0!</v>
      </c>
    </row>
    <row r="92" spans="1:10" x14ac:dyDescent="0.25">
      <c r="A92" s="30">
        <v>24</v>
      </c>
      <c r="B92" s="58" t="s">
        <v>210</v>
      </c>
      <c r="C92" s="51" t="e">
        <f t="shared" si="4"/>
        <v>#DIV/0!</v>
      </c>
      <c r="D92" s="51" t="e">
        <f t="shared" si="0"/>
        <v>#DIV/0!</v>
      </c>
      <c r="E92" s="51" t="e">
        <f t="shared" si="5"/>
        <v>#DIV/0!</v>
      </c>
      <c r="F92" t="e">
        <f t="shared" si="7"/>
        <v>#DIV/0!</v>
      </c>
      <c r="G92" s="75" t="e">
        <f t="shared" si="6"/>
        <v>#DIV/0!</v>
      </c>
      <c r="H92" t="e">
        <f t="shared" si="1"/>
        <v>#DIV/0!</v>
      </c>
      <c r="I92" s="75" t="e">
        <f t="shared" si="2"/>
        <v>#DIV/0!</v>
      </c>
      <c r="J92" s="75" t="e">
        <f t="shared" si="3"/>
        <v>#DIV/0!</v>
      </c>
    </row>
    <row r="93" spans="1:10" x14ac:dyDescent="0.25">
      <c r="A93" s="30">
        <v>25</v>
      </c>
      <c r="B93" s="58" t="s">
        <v>211</v>
      </c>
      <c r="C93" s="51" t="e">
        <f t="shared" si="4"/>
        <v>#DIV/0!</v>
      </c>
      <c r="D93" s="51" t="e">
        <f t="shared" si="0"/>
        <v>#DIV/0!</v>
      </c>
      <c r="E93" s="51" t="e">
        <f t="shared" si="5"/>
        <v>#DIV/0!</v>
      </c>
      <c r="F93" t="e">
        <f t="shared" si="7"/>
        <v>#DIV/0!</v>
      </c>
      <c r="G93" s="75" t="e">
        <f t="shared" si="6"/>
        <v>#DIV/0!</v>
      </c>
      <c r="H93" t="e">
        <f t="shared" si="1"/>
        <v>#DIV/0!</v>
      </c>
      <c r="I93" s="75" t="e">
        <f t="shared" si="2"/>
        <v>#DIV/0!</v>
      </c>
      <c r="J93" s="75" t="e">
        <f t="shared" si="3"/>
        <v>#DIV/0!</v>
      </c>
    </row>
    <row r="94" spans="1:10" x14ac:dyDescent="0.25">
      <c r="A94" s="30">
        <v>26</v>
      </c>
      <c r="B94" s="58" t="s">
        <v>212</v>
      </c>
      <c r="C94" s="51" t="e">
        <f t="shared" si="4"/>
        <v>#DIV/0!</v>
      </c>
      <c r="D94" s="51" t="e">
        <f t="shared" si="0"/>
        <v>#DIV/0!</v>
      </c>
      <c r="E94" s="51" t="e">
        <f t="shared" si="5"/>
        <v>#DIV/0!</v>
      </c>
      <c r="F94" t="e">
        <f t="shared" si="7"/>
        <v>#DIV/0!</v>
      </c>
      <c r="G94" s="75" t="e">
        <f t="shared" si="6"/>
        <v>#DIV/0!</v>
      </c>
      <c r="H94" t="e">
        <f t="shared" si="1"/>
        <v>#DIV/0!</v>
      </c>
      <c r="I94" s="75" t="e">
        <f t="shared" si="2"/>
        <v>#DIV/0!</v>
      </c>
      <c r="J94" s="75" t="e">
        <f t="shared" si="3"/>
        <v>#DIV/0!</v>
      </c>
    </row>
    <row r="95" spans="1:10" x14ac:dyDescent="0.25">
      <c r="A95" s="30">
        <v>27</v>
      </c>
      <c r="B95" s="58" t="s">
        <v>213</v>
      </c>
      <c r="C95" s="51" t="e">
        <f t="shared" si="4"/>
        <v>#DIV/0!</v>
      </c>
      <c r="D95" s="51" t="e">
        <f t="shared" si="0"/>
        <v>#DIV/0!</v>
      </c>
      <c r="E95" s="51" t="e">
        <f t="shared" si="5"/>
        <v>#DIV/0!</v>
      </c>
      <c r="F95" t="e">
        <f t="shared" si="7"/>
        <v>#DIV/0!</v>
      </c>
      <c r="G95" s="75" t="e">
        <f t="shared" si="6"/>
        <v>#DIV/0!</v>
      </c>
      <c r="H95" t="e">
        <f t="shared" si="1"/>
        <v>#DIV/0!</v>
      </c>
      <c r="I95" s="75" t="e">
        <f t="shared" si="2"/>
        <v>#DIV/0!</v>
      </c>
      <c r="J95" s="75" t="e">
        <f t="shared" si="3"/>
        <v>#DIV/0!</v>
      </c>
    </row>
    <row r="96" spans="1:10" x14ac:dyDescent="0.25">
      <c r="A96" s="30">
        <v>28</v>
      </c>
      <c r="B96" s="58" t="s">
        <v>214</v>
      </c>
      <c r="C96" s="51" t="e">
        <f t="shared" si="4"/>
        <v>#DIV/0!</v>
      </c>
      <c r="D96" s="51" t="e">
        <f t="shared" si="0"/>
        <v>#DIV/0!</v>
      </c>
      <c r="E96" s="51" t="e">
        <f t="shared" si="5"/>
        <v>#DIV/0!</v>
      </c>
      <c r="F96" t="e">
        <f t="shared" si="7"/>
        <v>#DIV/0!</v>
      </c>
      <c r="G96" s="75" t="e">
        <f t="shared" si="6"/>
        <v>#DIV/0!</v>
      </c>
      <c r="H96" t="e">
        <f t="shared" si="1"/>
        <v>#DIV/0!</v>
      </c>
      <c r="I96" s="75" t="e">
        <f t="shared" si="2"/>
        <v>#DIV/0!</v>
      </c>
      <c r="J96" s="75" t="e">
        <f t="shared" si="3"/>
        <v>#DIV/0!</v>
      </c>
    </row>
    <row r="97" spans="1:10" x14ac:dyDescent="0.25">
      <c r="A97" s="30">
        <v>29</v>
      </c>
      <c r="B97" s="58" t="s">
        <v>215</v>
      </c>
      <c r="C97" s="51" t="e">
        <f t="shared" si="4"/>
        <v>#DIV/0!</v>
      </c>
      <c r="D97" s="51" t="e">
        <f t="shared" si="0"/>
        <v>#DIV/0!</v>
      </c>
      <c r="E97" s="51" t="e">
        <f t="shared" si="5"/>
        <v>#DIV/0!</v>
      </c>
      <c r="F97" t="e">
        <f t="shared" si="7"/>
        <v>#DIV/0!</v>
      </c>
      <c r="G97" s="75" t="e">
        <f t="shared" si="6"/>
        <v>#DIV/0!</v>
      </c>
      <c r="H97" t="e">
        <f t="shared" si="1"/>
        <v>#DIV/0!</v>
      </c>
      <c r="I97" s="75" t="e">
        <f t="shared" si="2"/>
        <v>#DIV/0!</v>
      </c>
      <c r="J97" s="75" t="e">
        <f t="shared" si="3"/>
        <v>#DIV/0!</v>
      </c>
    </row>
  </sheetData>
  <sheetProtection algorithmName="SHA-512" hashValue="EaOSdLXjuG/U/71PcOfLaRtRMNOEBv/Mi3NA9ZZc9VrWXAKBku3bvVCmVWbK9ctCvTtNxRQtNd1IKt9LJtquUQ==" saltValue="sV4bkzkNIFKw1wBJVGVBOg==" spinCount="100000" sheet="1"/>
  <hyperlinks>
    <hyperlink ref="C2" r:id="rId1" xr:uid="{BD6C7A7C-8B25-4D5D-AF65-E8C87F1E3FA1}"/>
    <hyperlink ref="E4" r:id="rId2" xr:uid="{77B8DA4F-CB6C-4E50-ABF6-F72E31FFCB91}"/>
  </hyperlinks>
  <pageMargins left="0.7" right="0.7" top="0.75" bottom="0.75" header="0.3" footer="0.3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DE34A4-507A-4C52-A549-DCBA235B4EE8}">
          <x14:formula1>
            <xm:f>ParameterSelection!$D$2:$D$3</xm:f>
          </x14:formula1>
          <xm:sqref>C7</xm:sqref>
        </x14:dataValidation>
        <x14:dataValidation type="list" allowBlank="1" showInputMessage="1" showErrorMessage="1" xr:uid="{F07A849F-0521-479E-81CE-FD02AADAA3FC}">
          <x14:formula1>
            <xm:f>ParameterSelection!$B$2:$B$3</xm:f>
          </x14:formula1>
          <xm:sqref>C28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9A3F1-B5AD-470B-9C38-41482D65A778}">
  <dimension ref="B2:Q133"/>
  <sheetViews>
    <sheetView topLeftCell="C1" workbookViewId="0">
      <selection activeCell="F15" sqref="F15"/>
    </sheetView>
  </sheetViews>
  <sheetFormatPr defaultRowHeight="15" x14ac:dyDescent="0.25"/>
  <cols>
    <col min="1" max="2" width="9.140625" style="5"/>
    <col min="3" max="3" width="54.28515625" style="5" bestFit="1" customWidth="1"/>
    <col min="4" max="4" width="10.28515625" style="5" customWidth="1"/>
    <col min="5" max="16384" width="9.140625" style="5"/>
  </cols>
  <sheetData>
    <row r="2" spans="3:9" x14ac:dyDescent="0.25">
      <c r="C2" s="3" t="s">
        <v>0</v>
      </c>
      <c r="F2" s="3"/>
      <c r="I2" s="3" t="s">
        <v>1</v>
      </c>
    </row>
    <row r="3" spans="3:9" x14ac:dyDescent="0.25">
      <c r="C3" s="3" t="s">
        <v>2</v>
      </c>
      <c r="F3" s="3"/>
    </row>
    <row r="4" spans="3:9" x14ac:dyDescent="0.25">
      <c r="C4" s="3" t="s">
        <v>3</v>
      </c>
      <c r="F4" s="3" t="s">
        <v>137</v>
      </c>
    </row>
    <row r="5" spans="3:9" x14ac:dyDescent="0.25">
      <c r="C5" s="19" t="s">
        <v>4</v>
      </c>
      <c r="D5" s="13">
        <v>1</v>
      </c>
      <c r="F5" s="5" t="s">
        <v>125</v>
      </c>
    </row>
    <row r="6" spans="3:9" x14ac:dyDescent="0.25">
      <c r="C6" s="19" t="s">
        <v>6</v>
      </c>
      <c r="D6" s="13"/>
      <c r="F6" s="5" t="s">
        <v>126</v>
      </c>
    </row>
    <row r="7" spans="3:9" x14ac:dyDescent="0.25">
      <c r="C7" s="19" t="s">
        <v>8</v>
      </c>
      <c r="D7" s="13"/>
      <c r="F7" s="5" t="s">
        <v>132</v>
      </c>
    </row>
    <row r="8" spans="3:9" x14ac:dyDescent="0.25">
      <c r="C8" s="19" t="s">
        <v>9</v>
      </c>
      <c r="D8" s="13"/>
      <c r="F8" s="5" t="s">
        <v>131</v>
      </c>
    </row>
    <row r="9" spans="3:9" x14ac:dyDescent="0.25">
      <c r="C9" s="19" t="s">
        <v>11</v>
      </c>
      <c r="D9" s="14" t="s">
        <v>12</v>
      </c>
      <c r="F9" s="5" t="s">
        <v>133</v>
      </c>
    </row>
    <row r="10" spans="3:9" x14ac:dyDescent="0.25">
      <c r="C10" s="19" t="s">
        <v>14</v>
      </c>
      <c r="D10" s="13"/>
      <c r="F10" s="5" t="s">
        <v>129</v>
      </c>
    </row>
    <row r="11" spans="3:9" x14ac:dyDescent="0.25">
      <c r="C11" s="3" t="s">
        <v>15</v>
      </c>
      <c r="D11" s="1" t="e">
        <f>IF(D9="Male",(140-D6)*D13/(72*D10), 0.85*(140-D6)*D13/(72*D10))</f>
        <v>#DIV/0!</v>
      </c>
      <c r="F11" s="5" t="s">
        <v>134</v>
      </c>
    </row>
    <row r="12" spans="3:9" x14ac:dyDescent="0.25">
      <c r="C12" s="3" t="s">
        <v>17</v>
      </c>
      <c r="D12" s="2" t="e">
        <f>IF(D9="Male",9270*D8/(6680+(216*(D8/(D7*2.54/100)^2))),9270*D8/(8780+(244*(D8/(D7*2.54/100)^2))))</f>
        <v>#DIV/0!</v>
      </c>
    </row>
    <row r="13" spans="3:9" x14ac:dyDescent="0.25">
      <c r="C13" s="3" t="s">
        <v>19</v>
      </c>
      <c r="D13" s="2" t="e">
        <f>IF(D12&lt;D8,D12,D8)</f>
        <v>#DIV/0!</v>
      </c>
      <c r="F13" s="3" t="s">
        <v>16</v>
      </c>
    </row>
    <row r="14" spans="3:9" x14ac:dyDescent="0.25">
      <c r="C14" s="19" t="s">
        <v>121</v>
      </c>
      <c r="D14" s="13"/>
      <c r="F14" s="3" t="s">
        <v>130</v>
      </c>
    </row>
    <row r="15" spans="3:9" x14ac:dyDescent="0.25">
      <c r="C15" s="19" t="s">
        <v>21</v>
      </c>
      <c r="D15" s="14" t="s">
        <v>22</v>
      </c>
      <c r="F15" s="3" t="s">
        <v>72</v>
      </c>
    </row>
    <row r="16" spans="3:9" x14ac:dyDescent="0.25">
      <c r="C16" s="3" t="s">
        <v>23</v>
      </c>
      <c r="D16" s="4">
        <f>IF(D15="Carbonate",8.12*D14/300,8*D14/300)</f>
        <v>0</v>
      </c>
    </row>
    <row r="17" spans="2:17" x14ac:dyDescent="0.25">
      <c r="C17" s="3" t="s">
        <v>24</v>
      </c>
      <c r="D17" s="6" t="e">
        <f>D$11</f>
        <v>#DIV/0!</v>
      </c>
      <c r="E17" s="3">
        <v>120</v>
      </c>
      <c r="F17" s="3">
        <v>110</v>
      </c>
      <c r="G17" s="3">
        <v>100</v>
      </c>
      <c r="H17" s="3">
        <v>90</v>
      </c>
      <c r="I17" s="3">
        <v>80</v>
      </c>
      <c r="J17" s="3">
        <v>70</v>
      </c>
      <c r="K17" s="3">
        <v>60</v>
      </c>
      <c r="L17" s="3">
        <v>50</v>
      </c>
      <c r="M17" s="3">
        <v>40</v>
      </c>
      <c r="N17" s="3">
        <v>30</v>
      </c>
      <c r="O17" s="3">
        <v>20</v>
      </c>
      <c r="P17" s="3">
        <v>10</v>
      </c>
      <c r="Q17" s="3">
        <v>5</v>
      </c>
    </row>
    <row r="18" spans="2:17" x14ac:dyDescent="0.25">
      <c r="C18" s="3" t="s">
        <v>25</v>
      </c>
      <c r="D18" s="5" t="e">
        <f>0.25*D17*60/1000</f>
        <v>#DIV/0!</v>
      </c>
      <c r="E18" s="5">
        <f>0.25*E17*60/1000</f>
        <v>1.8</v>
      </c>
      <c r="F18" s="5">
        <f t="shared" ref="F18:Q18" si="0">0.25*F17*60/1000</f>
        <v>1.65</v>
      </c>
      <c r="G18" s="5">
        <f t="shared" si="0"/>
        <v>1.5</v>
      </c>
      <c r="H18" s="5">
        <f t="shared" si="0"/>
        <v>1.35</v>
      </c>
      <c r="I18" s="5">
        <f t="shared" si="0"/>
        <v>1.2</v>
      </c>
      <c r="J18" s="5">
        <f t="shared" si="0"/>
        <v>1.05</v>
      </c>
      <c r="K18" s="5">
        <f t="shared" si="0"/>
        <v>0.9</v>
      </c>
      <c r="L18" s="5">
        <f t="shared" si="0"/>
        <v>0.75</v>
      </c>
      <c r="M18" s="5">
        <f t="shared" si="0"/>
        <v>0.6</v>
      </c>
      <c r="N18" s="5">
        <f t="shared" si="0"/>
        <v>0.45</v>
      </c>
      <c r="O18" s="5">
        <f t="shared" si="0"/>
        <v>0.3</v>
      </c>
      <c r="P18" s="5">
        <f t="shared" si="0"/>
        <v>0.15</v>
      </c>
      <c r="Q18" s="5">
        <f t="shared" si="0"/>
        <v>7.4999999999999997E-2</v>
      </c>
    </row>
    <row r="19" spans="2:17" x14ac:dyDescent="0.25">
      <c r="C19" s="3" t="s">
        <v>26</v>
      </c>
      <c r="D19" s="7" t="e">
        <f>D18/(0.7*$D$13)</f>
        <v>#DIV/0!</v>
      </c>
      <c r="E19" s="5" t="e">
        <f>E18/(0.7*$D13)</f>
        <v>#DIV/0!</v>
      </c>
      <c r="F19" s="5" t="e">
        <f t="shared" ref="F19:Q19" si="1">F18/(0.7*$D13)</f>
        <v>#DIV/0!</v>
      </c>
      <c r="G19" s="5" t="e">
        <f t="shared" si="1"/>
        <v>#DIV/0!</v>
      </c>
      <c r="H19" s="5" t="e">
        <f t="shared" si="1"/>
        <v>#DIV/0!</v>
      </c>
      <c r="I19" s="5" t="e">
        <f t="shared" si="1"/>
        <v>#DIV/0!</v>
      </c>
      <c r="J19" s="5" t="e">
        <f t="shared" si="1"/>
        <v>#DIV/0!</v>
      </c>
      <c r="K19" s="5" t="e">
        <f t="shared" si="1"/>
        <v>#DIV/0!</v>
      </c>
      <c r="L19" s="5" t="e">
        <f t="shared" si="1"/>
        <v>#DIV/0!</v>
      </c>
      <c r="M19" s="5" t="e">
        <f t="shared" si="1"/>
        <v>#DIV/0!</v>
      </c>
      <c r="N19" s="5" t="e">
        <f t="shared" si="1"/>
        <v>#DIV/0!</v>
      </c>
      <c r="O19" s="5" t="e">
        <f t="shared" si="1"/>
        <v>#DIV/0!</v>
      </c>
      <c r="P19" s="5" t="e">
        <f t="shared" si="1"/>
        <v>#DIV/0!</v>
      </c>
      <c r="Q19" s="5" t="e">
        <f t="shared" si="1"/>
        <v>#DIV/0!</v>
      </c>
    </row>
    <row r="20" spans="2:17" x14ac:dyDescent="0.25">
      <c r="C20" s="3" t="s">
        <v>27</v>
      </c>
      <c r="D20" s="1" t="e">
        <f>0.693/(D18/($D$13*0.7))</f>
        <v>#DIV/0!</v>
      </c>
      <c r="E20" s="1" t="e">
        <f t="shared" ref="E20:O20" si="2">0.693/(E18/($D$13*0.7))</f>
        <v>#DIV/0!</v>
      </c>
      <c r="F20" s="1" t="e">
        <f t="shared" si="2"/>
        <v>#DIV/0!</v>
      </c>
      <c r="G20" s="1" t="e">
        <f t="shared" si="2"/>
        <v>#DIV/0!</v>
      </c>
      <c r="H20" s="1" t="e">
        <f t="shared" si="2"/>
        <v>#DIV/0!</v>
      </c>
      <c r="I20" s="1" t="e">
        <f t="shared" si="2"/>
        <v>#DIV/0!</v>
      </c>
      <c r="J20" s="1" t="e">
        <f t="shared" si="2"/>
        <v>#DIV/0!</v>
      </c>
      <c r="K20" s="1" t="e">
        <f t="shared" si="2"/>
        <v>#DIV/0!</v>
      </c>
      <c r="L20" s="1" t="e">
        <f t="shared" si="2"/>
        <v>#DIV/0!</v>
      </c>
      <c r="M20" s="1" t="e">
        <f t="shared" si="2"/>
        <v>#DIV/0!</v>
      </c>
      <c r="N20" s="1" t="e">
        <f t="shared" si="2"/>
        <v>#DIV/0!</v>
      </c>
      <c r="O20" s="1" t="e">
        <f t="shared" si="2"/>
        <v>#DIV/0!</v>
      </c>
      <c r="P20" s="1" t="e">
        <f>0.693/(P18/($D$13*0.7))</f>
        <v>#DIV/0!</v>
      </c>
      <c r="Q20" s="1" t="e">
        <f>0.693/(Q18/($D$13*0.7))</f>
        <v>#DIV/0!</v>
      </c>
    </row>
    <row r="21" spans="2:17" x14ac:dyDescent="0.25">
      <c r="C21" s="3" t="s">
        <v>28</v>
      </c>
      <c r="D21" s="8" t="e">
        <f t="shared" ref="D21:P21" si="3">0.693*5/(D$18/($D13*0.7))</f>
        <v>#DIV/0!</v>
      </c>
      <c r="E21" s="8" t="e">
        <f t="shared" si="3"/>
        <v>#DIV/0!</v>
      </c>
      <c r="F21" s="8" t="e">
        <f t="shared" si="3"/>
        <v>#DIV/0!</v>
      </c>
      <c r="G21" s="8" t="e">
        <f t="shared" si="3"/>
        <v>#DIV/0!</v>
      </c>
      <c r="H21" s="8" t="e">
        <f t="shared" si="3"/>
        <v>#DIV/0!</v>
      </c>
      <c r="I21" s="8" t="e">
        <f t="shared" si="3"/>
        <v>#DIV/0!</v>
      </c>
      <c r="J21" s="8" t="e">
        <f t="shared" si="3"/>
        <v>#DIV/0!</v>
      </c>
      <c r="K21" s="8" t="e">
        <f t="shared" si="3"/>
        <v>#DIV/0!</v>
      </c>
      <c r="L21" s="8" t="e">
        <f t="shared" si="3"/>
        <v>#DIV/0!</v>
      </c>
      <c r="M21" s="8" t="e">
        <f t="shared" si="3"/>
        <v>#DIV/0!</v>
      </c>
      <c r="N21" s="8" t="e">
        <f t="shared" si="3"/>
        <v>#DIV/0!</v>
      </c>
      <c r="O21" s="8" t="e">
        <f t="shared" si="3"/>
        <v>#DIV/0!</v>
      </c>
      <c r="P21" s="8" t="e">
        <f t="shared" si="3"/>
        <v>#DIV/0!</v>
      </c>
      <c r="Q21" s="8" t="e">
        <f>0.693*5/(Q$18/($D13*0.7))</f>
        <v>#DIV/0!</v>
      </c>
    </row>
    <row r="22" spans="2:17" x14ac:dyDescent="0.25">
      <c r="C22" s="19" t="s">
        <v>128</v>
      </c>
      <c r="D22" s="32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 x14ac:dyDescent="0.25">
      <c r="C23" s="18" t="s">
        <v>136</v>
      </c>
      <c r="D23" s="5" t="e">
        <f>$D16/($D13*0.7)*(EXP(-D19*$D22))</f>
        <v>#DIV/0!</v>
      </c>
      <c r="E23" s="5" t="e">
        <f>$D16/($D13*0.7)*(EXP(-E19*$D22))</f>
        <v>#DIV/0!</v>
      </c>
      <c r="F23" s="5" t="e">
        <f t="shared" ref="F23:Q23" si="4">$D16/($D13*0.7)*(EXP(-F19*$D22))</f>
        <v>#DIV/0!</v>
      </c>
      <c r="G23" s="5" t="e">
        <f t="shared" si="4"/>
        <v>#DIV/0!</v>
      </c>
      <c r="H23" s="5" t="e">
        <f t="shared" si="4"/>
        <v>#DIV/0!</v>
      </c>
      <c r="I23" s="5" t="e">
        <f t="shared" si="4"/>
        <v>#DIV/0!</v>
      </c>
      <c r="J23" s="5" t="e">
        <f t="shared" si="4"/>
        <v>#DIV/0!</v>
      </c>
      <c r="K23" s="5" t="e">
        <f t="shared" si="4"/>
        <v>#DIV/0!</v>
      </c>
      <c r="L23" s="5" t="e">
        <f t="shared" si="4"/>
        <v>#DIV/0!</v>
      </c>
      <c r="M23" s="5" t="e">
        <f t="shared" si="4"/>
        <v>#DIV/0!</v>
      </c>
      <c r="N23" s="5" t="e">
        <f t="shared" si="4"/>
        <v>#DIV/0!</v>
      </c>
      <c r="O23" s="5" t="e">
        <f t="shared" si="4"/>
        <v>#DIV/0!</v>
      </c>
      <c r="P23" s="5" t="e">
        <f t="shared" si="4"/>
        <v>#DIV/0!</v>
      </c>
      <c r="Q23" s="5" t="e">
        <f t="shared" si="4"/>
        <v>#DIV/0!</v>
      </c>
    </row>
    <row r="24" spans="2:17" x14ac:dyDescent="0.25">
      <c r="C24" s="3" t="s">
        <v>123</v>
      </c>
      <c r="D24" s="8" t="e">
        <f>0.8*(300/8.12)*$D13*0.7*(1-EXP(-D19*12))/(EXP(-D19*12))</f>
        <v>#DIV/0!</v>
      </c>
      <c r="E24" s="8" t="e">
        <f t="shared" ref="E24:Q24" si="5">0.8*(300/8.12)*$D13*0.7*(1-EXP(-E19*12))/(EXP(-E19*12))</f>
        <v>#DIV/0!</v>
      </c>
      <c r="F24" s="8" t="e">
        <f t="shared" si="5"/>
        <v>#DIV/0!</v>
      </c>
      <c r="G24" s="8" t="e">
        <f t="shared" si="5"/>
        <v>#DIV/0!</v>
      </c>
      <c r="H24" s="8" t="e">
        <f t="shared" si="5"/>
        <v>#DIV/0!</v>
      </c>
      <c r="I24" s="8" t="e">
        <f t="shared" si="5"/>
        <v>#DIV/0!</v>
      </c>
      <c r="J24" s="8" t="e">
        <f t="shared" si="5"/>
        <v>#DIV/0!</v>
      </c>
      <c r="K24" s="8" t="e">
        <f t="shared" si="5"/>
        <v>#DIV/0!</v>
      </c>
      <c r="L24" s="8" t="e">
        <f t="shared" si="5"/>
        <v>#DIV/0!</v>
      </c>
      <c r="M24" s="8" t="e">
        <f t="shared" si="5"/>
        <v>#DIV/0!</v>
      </c>
      <c r="N24" s="8" t="e">
        <f t="shared" si="5"/>
        <v>#DIV/0!</v>
      </c>
      <c r="O24" s="8" t="e">
        <f t="shared" si="5"/>
        <v>#DIV/0!</v>
      </c>
      <c r="P24" s="8" t="e">
        <f t="shared" si="5"/>
        <v>#DIV/0!</v>
      </c>
      <c r="Q24" s="8" t="e">
        <f t="shared" si="5"/>
        <v>#DIV/0!</v>
      </c>
    </row>
    <row r="25" spans="2:17" x14ac:dyDescent="0.25">
      <c r="C25" s="3" t="s">
        <v>124</v>
      </c>
      <c r="D25" s="3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 x14ac:dyDescent="0.25">
      <c r="C26" s="3" t="s">
        <v>23</v>
      </c>
      <c r="D26" s="5">
        <f>IF(D15="Carbonate",8.12*D25/300, 8*D25/200)</f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 ht="15.75" thickBot="1" x14ac:dyDescent="0.3">
      <c r="C27" s="3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2:17" ht="15.75" thickBot="1" x14ac:dyDescent="0.3">
      <c r="B28" s="10" t="s">
        <v>29</v>
      </c>
      <c r="C28" s="11">
        <v>6</v>
      </c>
    </row>
    <row r="29" spans="2:17" x14ac:dyDescent="0.25">
      <c r="C29" s="3" t="s">
        <v>30</v>
      </c>
      <c r="D29" s="2" t="e">
        <f>$D$26*$D$5/(($D$13*0.7)*(1-EXP(-D$18*$C28/($D$13*0.7))))</f>
        <v>#DIV/0!</v>
      </c>
      <c r="E29" s="2" t="e">
        <f>$D$26*$D$5/(($D$13*0.7)*(1-EXP(-E$18*$C28/($D$13*0.7))))</f>
        <v>#DIV/0!</v>
      </c>
      <c r="F29" s="2" t="e">
        <f t="shared" ref="F29:Q29" si="6">$D$26*$D$5/(($D$13*0.7)*(1-EXP(-F$18*$C28/($D$13*0.7))))</f>
        <v>#DIV/0!</v>
      </c>
      <c r="G29" s="2" t="e">
        <f t="shared" si="6"/>
        <v>#DIV/0!</v>
      </c>
      <c r="H29" s="2" t="e">
        <f t="shared" si="6"/>
        <v>#DIV/0!</v>
      </c>
      <c r="I29" s="2" t="e">
        <f t="shared" si="6"/>
        <v>#DIV/0!</v>
      </c>
      <c r="J29" s="2" t="e">
        <f t="shared" si="6"/>
        <v>#DIV/0!</v>
      </c>
      <c r="K29" s="2" t="e">
        <f t="shared" si="6"/>
        <v>#DIV/0!</v>
      </c>
      <c r="L29" s="2" t="e">
        <f t="shared" si="6"/>
        <v>#DIV/0!</v>
      </c>
      <c r="M29" s="2" t="e">
        <f t="shared" si="6"/>
        <v>#DIV/0!</v>
      </c>
      <c r="N29" s="2" t="e">
        <f t="shared" si="6"/>
        <v>#DIV/0!</v>
      </c>
      <c r="O29" s="2" t="e">
        <f t="shared" si="6"/>
        <v>#DIV/0!</v>
      </c>
      <c r="P29" s="2" t="e">
        <f t="shared" si="6"/>
        <v>#DIV/0!</v>
      </c>
      <c r="Q29" s="2" t="e">
        <f t="shared" si="6"/>
        <v>#DIV/0!</v>
      </c>
    </row>
    <row r="30" spans="2:17" x14ac:dyDescent="0.25">
      <c r="C30" s="3" t="s">
        <v>31</v>
      </c>
      <c r="D30" s="2" t="e">
        <f>D29*EXP(-D$19*$C28)</f>
        <v>#DIV/0!</v>
      </c>
      <c r="E30" s="2" t="e">
        <f t="shared" ref="E30:Q30" si="7">E29*EXP(-E$19*$C28)</f>
        <v>#DIV/0!</v>
      </c>
      <c r="F30" s="2" t="e">
        <f t="shared" si="7"/>
        <v>#DIV/0!</v>
      </c>
      <c r="G30" s="2" t="e">
        <f t="shared" si="7"/>
        <v>#DIV/0!</v>
      </c>
      <c r="H30" s="2" t="e">
        <f t="shared" si="7"/>
        <v>#DIV/0!</v>
      </c>
      <c r="I30" s="2" t="e">
        <f t="shared" si="7"/>
        <v>#DIV/0!</v>
      </c>
      <c r="J30" s="2" t="e">
        <f t="shared" si="7"/>
        <v>#DIV/0!</v>
      </c>
      <c r="K30" s="2" t="e">
        <f t="shared" si="7"/>
        <v>#DIV/0!</v>
      </c>
      <c r="L30" s="2" t="e">
        <f t="shared" si="7"/>
        <v>#DIV/0!</v>
      </c>
      <c r="M30" s="2" t="e">
        <f t="shared" si="7"/>
        <v>#DIV/0!</v>
      </c>
      <c r="N30" s="2" t="e">
        <f t="shared" si="7"/>
        <v>#DIV/0!</v>
      </c>
      <c r="O30" s="2" t="e">
        <f t="shared" si="7"/>
        <v>#DIV/0!</v>
      </c>
      <c r="P30" s="2" t="e">
        <f t="shared" si="7"/>
        <v>#DIV/0!</v>
      </c>
      <c r="Q30" s="2" t="e">
        <f t="shared" si="7"/>
        <v>#DIV/0!</v>
      </c>
    </row>
    <row r="31" spans="2:17" ht="15.75" thickBot="1" x14ac:dyDescent="0.3">
      <c r="C31" s="3" t="s">
        <v>32</v>
      </c>
      <c r="D31" s="2" t="e">
        <f>D29*EXP(-(D$18*12/($D$13*0.7)))</f>
        <v>#DIV/0!</v>
      </c>
      <c r="E31" s="2" t="e">
        <f t="shared" ref="E31:Q31" si="8">E29*EXP(-(E$18*12/($D$13*0.7)))</f>
        <v>#DIV/0!</v>
      </c>
      <c r="F31" s="2" t="e">
        <f t="shared" si="8"/>
        <v>#DIV/0!</v>
      </c>
      <c r="G31" s="2" t="e">
        <f t="shared" si="8"/>
        <v>#DIV/0!</v>
      </c>
      <c r="H31" s="2" t="e">
        <f t="shared" si="8"/>
        <v>#DIV/0!</v>
      </c>
      <c r="I31" s="2" t="e">
        <f t="shared" si="8"/>
        <v>#DIV/0!</v>
      </c>
      <c r="J31" s="2" t="e">
        <f t="shared" si="8"/>
        <v>#DIV/0!</v>
      </c>
      <c r="K31" s="2" t="e">
        <f t="shared" si="8"/>
        <v>#DIV/0!</v>
      </c>
      <c r="L31" s="2" t="e">
        <f t="shared" si="8"/>
        <v>#DIV/0!</v>
      </c>
      <c r="M31" s="2" t="e">
        <f t="shared" si="8"/>
        <v>#DIV/0!</v>
      </c>
      <c r="N31" s="2" t="e">
        <f t="shared" si="8"/>
        <v>#DIV/0!</v>
      </c>
      <c r="O31" s="2" t="e">
        <f t="shared" si="8"/>
        <v>#DIV/0!</v>
      </c>
      <c r="P31" s="2" t="e">
        <f t="shared" si="8"/>
        <v>#DIV/0!</v>
      </c>
      <c r="Q31" s="2" t="e">
        <f t="shared" si="8"/>
        <v>#DIV/0!</v>
      </c>
    </row>
    <row r="32" spans="2:17" ht="15.75" thickBot="1" x14ac:dyDescent="0.3">
      <c r="B32" s="10" t="s">
        <v>29</v>
      </c>
      <c r="C32" s="11">
        <v>8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7" x14ac:dyDescent="0.25">
      <c r="C33" s="3" t="s">
        <v>30</v>
      </c>
      <c r="D33" s="2" t="e">
        <f>$D$26*$D$5/(($D$13*0.7)*(1-EXP(-D$18*$C32/($D$13*0.7))))</f>
        <v>#DIV/0!</v>
      </c>
      <c r="E33" s="2" t="e">
        <f t="shared" ref="E33:Q33" si="9">$D$26*$D$5/(($D$13*0.7)*(1-EXP(-E$18*$C32/($D$13*0.7))))</f>
        <v>#DIV/0!</v>
      </c>
      <c r="F33" s="2" t="e">
        <f t="shared" si="9"/>
        <v>#DIV/0!</v>
      </c>
      <c r="G33" s="2" t="e">
        <f t="shared" si="9"/>
        <v>#DIV/0!</v>
      </c>
      <c r="H33" s="2" t="e">
        <f t="shared" si="9"/>
        <v>#DIV/0!</v>
      </c>
      <c r="I33" s="2" t="e">
        <f t="shared" si="9"/>
        <v>#DIV/0!</v>
      </c>
      <c r="J33" s="2" t="e">
        <f t="shared" si="9"/>
        <v>#DIV/0!</v>
      </c>
      <c r="K33" s="2" t="e">
        <f t="shared" si="9"/>
        <v>#DIV/0!</v>
      </c>
      <c r="L33" s="2" t="e">
        <f t="shared" si="9"/>
        <v>#DIV/0!</v>
      </c>
      <c r="M33" s="2" t="e">
        <f t="shared" si="9"/>
        <v>#DIV/0!</v>
      </c>
      <c r="N33" s="2" t="e">
        <f t="shared" si="9"/>
        <v>#DIV/0!</v>
      </c>
      <c r="O33" s="2" t="e">
        <f t="shared" si="9"/>
        <v>#DIV/0!</v>
      </c>
      <c r="P33" s="2" t="e">
        <f t="shared" si="9"/>
        <v>#DIV/0!</v>
      </c>
      <c r="Q33" s="2" t="e">
        <f t="shared" si="9"/>
        <v>#DIV/0!</v>
      </c>
    </row>
    <row r="34" spans="2:17" x14ac:dyDescent="0.25">
      <c r="C34" s="3" t="s">
        <v>31</v>
      </c>
      <c r="D34" s="2" t="e">
        <f t="shared" ref="D34:Q34" si="10">D33*EXP(-D$19*$C32)</f>
        <v>#DIV/0!</v>
      </c>
      <c r="E34" s="2" t="e">
        <f t="shared" si="10"/>
        <v>#DIV/0!</v>
      </c>
      <c r="F34" s="2" t="e">
        <f t="shared" si="10"/>
        <v>#DIV/0!</v>
      </c>
      <c r="G34" s="2" t="e">
        <f t="shared" si="10"/>
        <v>#DIV/0!</v>
      </c>
      <c r="H34" s="2" t="e">
        <f t="shared" si="10"/>
        <v>#DIV/0!</v>
      </c>
      <c r="I34" s="2" t="e">
        <f t="shared" si="10"/>
        <v>#DIV/0!</v>
      </c>
      <c r="J34" s="2" t="e">
        <f t="shared" si="10"/>
        <v>#DIV/0!</v>
      </c>
      <c r="K34" s="2" t="e">
        <f t="shared" si="10"/>
        <v>#DIV/0!</v>
      </c>
      <c r="L34" s="2" t="e">
        <f t="shared" si="10"/>
        <v>#DIV/0!</v>
      </c>
      <c r="M34" s="2" t="e">
        <f t="shared" si="10"/>
        <v>#DIV/0!</v>
      </c>
      <c r="N34" s="2" t="e">
        <f t="shared" si="10"/>
        <v>#DIV/0!</v>
      </c>
      <c r="O34" s="2" t="e">
        <f t="shared" si="10"/>
        <v>#DIV/0!</v>
      </c>
      <c r="P34" s="2" t="e">
        <f t="shared" si="10"/>
        <v>#DIV/0!</v>
      </c>
      <c r="Q34" s="2" t="e">
        <f t="shared" si="10"/>
        <v>#DIV/0!</v>
      </c>
    </row>
    <row r="35" spans="2:17" ht="15.75" thickBot="1" x14ac:dyDescent="0.3">
      <c r="C35" s="3" t="s">
        <v>32</v>
      </c>
      <c r="D35" s="2" t="e">
        <f t="shared" ref="D35:Q35" si="11">D33*EXP(-(D$18*12/($D$13*0.7)))</f>
        <v>#DIV/0!</v>
      </c>
      <c r="E35" s="2" t="e">
        <f t="shared" si="11"/>
        <v>#DIV/0!</v>
      </c>
      <c r="F35" s="2" t="e">
        <f t="shared" si="11"/>
        <v>#DIV/0!</v>
      </c>
      <c r="G35" s="2" t="e">
        <f t="shared" si="11"/>
        <v>#DIV/0!</v>
      </c>
      <c r="H35" s="2" t="e">
        <f t="shared" si="11"/>
        <v>#DIV/0!</v>
      </c>
      <c r="I35" s="2" t="e">
        <f t="shared" si="11"/>
        <v>#DIV/0!</v>
      </c>
      <c r="J35" s="2" t="e">
        <f t="shared" si="11"/>
        <v>#DIV/0!</v>
      </c>
      <c r="K35" s="2" t="e">
        <f t="shared" si="11"/>
        <v>#DIV/0!</v>
      </c>
      <c r="L35" s="2" t="e">
        <f t="shared" si="11"/>
        <v>#DIV/0!</v>
      </c>
      <c r="M35" s="2" t="e">
        <f t="shared" si="11"/>
        <v>#DIV/0!</v>
      </c>
      <c r="N35" s="2" t="e">
        <f t="shared" si="11"/>
        <v>#DIV/0!</v>
      </c>
      <c r="O35" s="2" t="e">
        <f t="shared" si="11"/>
        <v>#DIV/0!</v>
      </c>
      <c r="P35" s="2" t="e">
        <f t="shared" si="11"/>
        <v>#DIV/0!</v>
      </c>
      <c r="Q35" s="2" t="e">
        <f t="shared" si="11"/>
        <v>#DIV/0!</v>
      </c>
    </row>
    <row r="36" spans="2:17" ht="15.75" thickBot="1" x14ac:dyDescent="0.3">
      <c r="B36" s="10" t="s">
        <v>29</v>
      </c>
      <c r="C36" s="11">
        <v>12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7" x14ac:dyDescent="0.25">
      <c r="C37" s="3" t="s">
        <v>30</v>
      </c>
      <c r="D37" s="2" t="e">
        <f>$D$26*$D$5/(($D$13*0.7)*(1-EXP(-D$18*$C36/($D$13*0.7))))</f>
        <v>#DIV/0!</v>
      </c>
      <c r="E37" s="2" t="e">
        <f t="shared" ref="E37:Q37" si="12">$D$26*$D$5/(($D$13*0.7)*(1-EXP(-E$18*$C36/($D$13*0.7))))</f>
        <v>#DIV/0!</v>
      </c>
      <c r="F37" s="2" t="e">
        <f t="shared" si="12"/>
        <v>#DIV/0!</v>
      </c>
      <c r="G37" s="2" t="e">
        <f t="shared" si="12"/>
        <v>#DIV/0!</v>
      </c>
      <c r="H37" s="2" t="e">
        <f t="shared" si="12"/>
        <v>#DIV/0!</v>
      </c>
      <c r="I37" s="2" t="e">
        <f t="shared" si="12"/>
        <v>#DIV/0!</v>
      </c>
      <c r="J37" s="2" t="e">
        <f t="shared" si="12"/>
        <v>#DIV/0!</v>
      </c>
      <c r="K37" s="2" t="e">
        <f t="shared" si="12"/>
        <v>#DIV/0!</v>
      </c>
      <c r="L37" s="2" t="e">
        <f t="shared" si="12"/>
        <v>#DIV/0!</v>
      </c>
      <c r="M37" s="2" t="e">
        <f t="shared" si="12"/>
        <v>#DIV/0!</v>
      </c>
      <c r="N37" s="2" t="e">
        <f t="shared" si="12"/>
        <v>#DIV/0!</v>
      </c>
      <c r="O37" s="2" t="e">
        <f t="shared" si="12"/>
        <v>#DIV/0!</v>
      </c>
      <c r="P37" s="2" t="e">
        <f t="shared" si="12"/>
        <v>#DIV/0!</v>
      </c>
      <c r="Q37" s="2" t="e">
        <f t="shared" si="12"/>
        <v>#DIV/0!</v>
      </c>
    </row>
    <row r="38" spans="2:17" x14ac:dyDescent="0.25">
      <c r="C38" s="3" t="s">
        <v>31</v>
      </c>
      <c r="D38" s="2" t="e">
        <f t="shared" ref="D38:Q38" si="13">D37*EXP(-D$19*$C36)</f>
        <v>#DIV/0!</v>
      </c>
      <c r="E38" s="2" t="e">
        <f t="shared" si="13"/>
        <v>#DIV/0!</v>
      </c>
      <c r="F38" s="2" t="e">
        <f t="shared" si="13"/>
        <v>#DIV/0!</v>
      </c>
      <c r="G38" s="2" t="e">
        <f t="shared" si="13"/>
        <v>#DIV/0!</v>
      </c>
      <c r="H38" s="2" t="e">
        <f t="shared" si="13"/>
        <v>#DIV/0!</v>
      </c>
      <c r="I38" s="2" t="e">
        <f t="shared" si="13"/>
        <v>#DIV/0!</v>
      </c>
      <c r="J38" s="2" t="e">
        <f t="shared" si="13"/>
        <v>#DIV/0!</v>
      </c>
      <c r="K38" s="2" t="e">
        <f t="shared" si="13"/>
        <v>#DIV/0!</v>
      </c>
      <c r="L38" s="2" t="e">
        <f t="shared" si="13"/>
        <v>#DIV/0!</v>
      </c>
      <c r="M38" s="2" t="e">
        <f t="shared" si="13"/>
        <v>#DIV/0!</v>
      </c>
      <c r="N38" s="2" t="e">
        <f t="shared" si="13"/>
        <v>#DIV/0!</v>
      </c>
      <c r="O38" s="2" t="e">
        <f t="shared" si="13"/>
        <v>#DIV/0!</v>
      </c>
      <c r="P38" s="2" t="e">
        <f t="shared" si="13"/>
        <v>#DIV/0!</v>
      </c>
      <c r="Q38" s="2" t="e">
        <f t="shared" si="13"/>
        <v>#DIV/0!</v>
      </c>
    </row>
    <row r="39" spans="2:17" ht="15.75" thickBot="1" x14ac:dyDescent="0.3">
      <c r="C39" s="3" t="s">
        <v>32</v>
      </c>
      <c r="D39" s="2" t="e">
        <f>D37*EXP(-(D$18*12/($D$13*0.7)))</f>
        <v>#DIV/0!</v>
      </c>
      <c r="E39" s="2" t="e">
        <f>E37*EXP(-(E$18*12/($D$13*0.7)))</f>
        <v>#DIV/0!</v>
      </c>
      <c r="F39" s="2" t="e">
        <f t="shared" ref="F39:Q39" si="14">F37*EXP(-(F$18*12/($D$13*0.7)))</f>
        <v>#DIV/0!</v>
      </c>
      <c r="G39" s="2" t="e">
        <f t="shared" si="14"/>
        <v>#DIV/0!</v>
      </c>
      <c r="H39" s="2" t="e">
        <f t="shared" si="14"/>
        <v>#DIV/0!</v>
      </c>
      <c r="I39" s="2" t="e">
        <f t="shared" si="14"/>
        <v>#DIV/0!</v>
      </c>
      <c r="J39" s="2" t="e">
        <f t="shared" si="14"/>
        <v>#DIV/0!</v>
      </c>
      <c r="K39" s="2" t="e">
        <f t="shared" si="14"/>
        <v>#DIV/0!</v>
      </c>
      <c r="L39" s="2" t="e">
        <f t="shared" si="14"/>
        <v>#DIV/0!</v>
      </c>
      <c r="M39" s="2" t="e">
        <f t="shared" si="14"/>
        <v>#DIV/0!</v>
      </c>
      <c r="N39" s="2" t="e">
        <f t="shared" si="14"/>
        <v>#DIV/0!</v>
      </c>
      <c r="O39" s="2" t="e">
        <f t="shared" si="14"/>
        <v>#DIV/0!</v>
      </c>
      <c r="P39" s="2" t="e">
        <f t="shared" si="14"/>
        <v>#DIV/0!</v>
      </c>
      <c r="Q39" s="2" t="e">
        <f t="shared" si="14"/>
        <v>#DIV/0!</v>
      </c>
    </row>
    <row r="40" spans="2:17" ht="15.75" thickBot="1" x14ac:dyDescent="0.3">
      <c r="B40" s="10" t="s">
        <v>29</v>
      </c>
      <c r="C40" s="12">
        <v>24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7" x14ac:dyDescent="0.25">
      <c r="C41" s="3" t="s">
        <v>30</v>
      </c>
      <c r="D41" s="2" t="e">
        <f>$D$26*$D$5/(($D$13*0.7)*(1-EXP(-D$18*$C40/($D$13*0.7))))</f>
        <v>#DIV/0!</v>
      </c>
      <c r="E41" s="2" t="e">
        <f t="shared" ref="E41:Q41" si="15">$D$26*$D$5/(($D$13*0.7)*(1-EXP(-E$18*$C40/($D$13*0.7))))</f>
        <v>#DIV/0!</v>
      </c>
      <c r="F41" s="2" t="e">
        <f t="shared" si="15"/>
        <v>#DIV/0!</v>
      </c>
      <c r="G41" s="2" t="e">
        <f t="shared" si="15"/>
        <v>#DIV/0!</v>
      </c>
      <c r="H41" s="2" t="e">
        <f t="shared" si="15"/>
        <v>#DIV/0!</v>
      </c>
      <c r="I41" s="2" t="e">
        <f t="shared" si="15"/>
        <v>#DIV/0!</v>
      </c>
      <c r="J41" s="2" t="e">
        <f t="shared" si="15"/>
        <v>#DIV/0!</v>
      </c>
      <c r="K41" s="2" t="e">
        <f t="shared" si="15"/>
        <v>#DIV/0!</v>
      </c>
      <c r="L41" s="2" t="e">
        <f t="shared" si="15"/>
        <v>#DIV/0!</v>
      </c>
      <c r="M41" s="2" t="e">
        <f t="shared" si="15"/>
        <v>#DIV/0!</v>
      </c>
      <c r="N41" s="2" t="e">
        <f t="shared" si="15"/>
        <v>#DIV/0!</v>
      </c>
      <c r="O41" s="2" t="e">
        <f t="shared" si="15"/>
        <v>#DIV/0!</v>
      </c>
      <c r="P41" s="2" t="e">
        <f t="shared" si="15"/>
        <v>#DIV/0!</v>
      </c>
      <c r="Q41" s="2" t="e">
        <f t="shared" si="15"/>
        <v>#DIV/0!</v>
      </c>
    </row>
    <row r="42" spans="2:17" x14ac:dyDescent="0.25">
      <c r="C42" s="3" t="s">
        <v>31</v>
      </c>
      <c r="D42" s="2" t="e">
        <f t="shared" ref="D42:Q42" si="16">D41*EXP(-D$19*$C40)</f>
        <v>#DIV/0!</v>
      </c>
      <c r="E42" s="2" t="e">
        <f t="shared" si="16"/>
        <v>#DIV/0!</v>
      </c>
      <c r="F42" s="2" t="e">
        <f t="shared" si="16"/>
        <v>#DIV/0!</v>
      </c>
      <c r="G42" s="2" t="e">
        <f t="shared" si="16"/>
        <v>#DIV/0!</v>
      </c>
      <c r="H42" s="2" t="e">
        <f t="shared" si="16"/>
        <v>#DIV/0!</v>
      </c>
      <c r="I42" s="2" t="e">
        <f t="shared" si="16"/>
        <v>#DIV/0!</v>
      </c>
      <c r="J42" s="2" t="e">
        <f t="shared" si="16"/>
        <v>#DIV/0!</v>
      </c>
      <c r="K42" s="2" t="e">
        <f t="shared" si="16"/>
        <v>#DIV/0!</v>
      </c>
      <c r="L42" s="2" t="e">
        <f t="shared" si="16"/>
        <v>#DIV/0!</v>
      </c>
      <c r="M42" s="2" t="e">
        <f t="shared" si="16"/>
        <v>#DIV/0!</v>
      </c>
      <c r="N42" s="2" t="e">
        <f t="shared" si="16"/>
        <v>#DIV/0!</v>
      </c>
      <c r="O42" s="2" t="e">
        <f t="shared" si="16"/>
        <v>#DIV/0!</v>
      </c>
      <c r="P42" s="2" t="e">
        <f t="shared" si="16"/>
        <v>#DIV/0!</v>
      </c>
      <c r="Q42" s="2" t="e">
        <f t="shared" si="16"/>
        <v>#DIV/0!</v>
      </c>
    </row>
    <row r="43" spans="2:17" ht="15.75" thickBot="1" x14ac:dyDescent="0.3">
      <c r="C43" s="3" t="s">
        <v>32</v>
      </c>
      <c r="D43" s="2" t="e">
        <f t="shared" ref="D43:Q43" si="17">D41*EXP(-(D$18*12/($D$13*0.7)))</f>
        <v>#DIV/0!</v>
      </c>
      <c r="E43" s="2" t="e">
        <f t="shared" si="17"/>
        <v>#DIV/0!</v>
      </c>
      <c r="F43" s="2" t="e">
        <f t="shared" si="17"/>
        <v>#DIV/0!</v>
      </c>
      <c r="G43" s="2" t="e">
        <f t="shared" si="17"/>
        <v>#DIV/0!</v>
      </c>
      <c r="H43" s="2" t="e">
        <f t="shared" si="17"/>
        <v>#DIV/0!</v>
      </c>
      <c r="I43" s="2" t="e">
        <f t="shared" si="17"/>
        <v>#DIV/0!</v>
      </c>
      <c r="J43" s="2" t="e">
        <f t="shared" si="17"/>
        <v>#DIV/0!</v>
      </c>
      <c r="K43" s="2" t="e">
        <f t="shared" si="17"/>
        <v>#DIV/0!</v>
      </c>
      <c r="L43" s="2" t="e">
        <f t="shared" si="17"/>
        <v>#DIV/0!</v>
      </c>
      <c r="M43" s="2" t="e">
        <f t="shared" si="17"/>
        <v>#DIV/0!</v>
      </c>
      <c r="N43" s="2" t="e">
        <f t="shared" si="17"/>
        <v>#DIV/0!</v>
      </c>
      <c r="O43" s="2" t="e">
        <f t="shared" si="17"/>
        <v>#DIV/0!</v>
      </c>
      <c r="P43" s="2" t="e">
        <f t="shared" si="17"/>
        <v>#DIV/0!</v>
      </c>
      <c r="Q43" s="2" t="e">
        <f t="shared" si="17"/>
        <v>#DIV/0!</v>
      </c>
    </row>
    <row r="44" spans="2:17" ht="15.75" thickBot="1" x14ac:dyDescent="0.3">
      <c r="B44" s="10" t="s">
        <v>29</v>
      </c>
      <c r="C44" s="12">
        <v>48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7" x14ac:dyDescent="0.25">
      <c r="C45" s="3" t="s">
        <v>30</v>
      </c>
      <c r="D45" s="2" t="e">
        <f>$D$26*$D$5/(($D$13*0.7)*(1-EXP(-D$18*$C44/($D$13*0.7))))</f>
        <v>#DIV/0!</v>
      </c>
      <c r="E45" s="2" t="e">
        <f t="shared" ref="E45:Q45" si="18">$D$26*$D$5/(($D$13*0.7)*(1-EXP(-E$18*$C44/($D$13*0.7))))</f>
        <v>#DIV/0!</v>
      </c>
      <c r="F45" s="2" t="e">
        <f t="shared" si="18"/>
        <v>#DIV/0!</v>
      </c>
      <c r="G45" s="2" t="e">
        <f t="shared" si="18"/>
        <v>#DIV/0!</v>
      </c>
      <c r="H45" s="2" t="e">
        <f t="shared" si="18"/>
        <v>#DIV/0!</v>
      </c>
      <c r="I45" s="2" t="e">
        <f t="shared" si="18"/>
        <v>#DIV/0!</v>
      </c>
      <c r="J45" s="2" t="e">
        <f t="shared" si="18"/>
        <v>#DIV/0!</v>
      </c>
      <c r="K45" s="2" t="e">
        <f t="shared" si="18"/>
        <v>#DIV/0!</v>
      </c>
      <c r="L45" s="2" t="e">
        <f t="shared" si="18"/>
        <v>#DIV/0!</v>
      </c>
      <c r="M45" s="2" t="e">
        <f t="shared" si="18"/>
        <v>#DIV/0!</v>
      </c>
      <c r="N45" s="2" t="e">
        <f t="shared" si="18"/>
        <v>#DIV/0!</v>
      </c>
      <c r="O45" s="2" t="e">
        <f t="shared" si="18"/>
        <v>#DIV/0!</v>
      </c>
      <c r="P45" s="2" t="e">
        <f t="shared" si="18"/>
        <v>#DIV/0!</v>
      </c>
      <c r="Q45" s="2" t="e">
        <f t="shared" si="18"/>
        <v>#DIV/0!</v>
      </c>
    </row>
    <row r="46" spans="2:17" x14ac:dyDescent="0.25">
      <c r="C46" s="3" t="s">
        <v>31</v>
      </c>
      <c r="D46" s="2" t="e">
        <f t="shared" ref="D46:Q46" si="19">D45*EXP(-D$19*$C44)</f>
        <v>#DIV/0!</v>
      </c>
      <c r="E46" s="2" t="e">
        <f t="shared" si="19"/>
        <v>#DIV/0!</v>
      </c>
      <c r="F46" s="2" t="e">
        <f t="shared" si="19"/>
        <v>#DIV/0!</v>
      </c>
      <c r="G46" s="2" t="e">
        <f t="shared" si="19"/>
        <v>#DIV/0!</v>
      </c>
      <c r="H46" s="2" t="e">
        <f t="shared" si="19"/>
        <v>#DIV/0!</v>
      </c>
      <c r="I46" s="2" t="e">
        <f t="shared" si="19"/>
        <v>#DIV/0!</v>
      </c>
      <c r="J46" s="2" t="e">
        <f t="shared" si="19"/>
        <v>#DIV/0!</v>
      </c>
      <c r="K46" s="2" t="e">
        <f t="shared" si="19"/>
        <v>#DIV/0!</v>
      </c>
      <c r="L46" s="2" t="e">
        <f t="shared" si="19"/>
        <v>#DIV/0!</v>
      </c>
      <c r="M46" s="2" t="e">
        <f t="shared" si="19"/>
        <v>#DIV/0!</v>
      </c>
      <c r="N46" s="2" t="e">
        <f t="shared" si="19"/>
        <v>#DIV/0!</v>
      </c>
      <c r="O46" s="2" t="e">
        <f t="shared" si="19"/>
        <v>#DIV/0!</v>
      </c>
      <c r="P46" s="2" t="e">
        <f t="shared" si="19"/>
        <v>#DIV/0!</v>
      </c>
      <c r="Q46" s="2" t="e">
        <f t="shared" si="19"/>
        <v>#DIV/0!</v>
      </c>
    </row>
    <row r="47" spans="2:17" ht="15.75" thickBot="1" x14ac:dyDescent="0.3">
      <c r="C47" s="3" t="s">
        <v>32</v>
      </c>
      <c r="D47" s="2" t="e">
        <f t="shared" ref="D47:Q47" si="20">D45*EXP(-(D$18*12/($D$13*0.7)))</f>
        <v>#DIV/0!</v>
      </c>
      <c r="E47" s="2" t="e">
        <f t="shared" si="20"/>
        <v>#DIV/0!</v>
      </c>
      <c r="F47" s="2" t="e">
        <f t="shared" si="20"/>
        <v>#DIV/0!</v>
      </c>
      <c r="G47" s="2" t="e">
        <f t="shared" si="20"/>
        <v>#DIV/0!</v>
      </c>
      <c r="H47" s="2" t="e">
        <f t="shared" si="20"/>
        <v>#DIV/0!</v>
      </c>
      <c r="I47" s="2" t="e">
        <f t="shared" si="20"/>
        <v>#DIV/0!</v>
      </c>
      <c r="J47" s="2" t="e">
        <f t="shared" si="20"/>
        <v>#DIV/0!</v>
      </c>
      <c r="K47" s="2" t="e">
        <f t="shared" si="20"/>
        <v>#DIV/0!</v>
      </c>
      <c r="L47" s="2" t="e">
        <f t="shared" si="20"/>
        <v>#DIV/0!</v>
      </c>
      <c r="M47" s="2" t="e">
        <f t="shared" si="20"/>
        <v>#DIV/0!</v>
      </c>
      <c r="N47" s="2" t="e">
        <f t="shared" si="20"/>
        <v>#DIV/0!</v>
      </c>
      <c r="O47" s="2" t="e">
        <f t="shared" si="20"/>
        <v>#DIV/0!</v>
      </c>
      <c r="P47" s="2" t="e">
        <f t="shared" si="20"/>
        <v>#DIV/0!</v>
      </c>
      <c r="Q47" s="2" t="e">
        <f t="shared" si="20"/>
        <v>#DIV/0!</v>
      </c>
    </row>
    <row r="48" spans="2:17" ht="15.75" thickBot="1" x14ac:dyDescent="0.3">
      <c r="B48" s="10" t="s">
        <v>29</v>
      </c>
      <c r="C48" s="12">
        <v>72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7" x14ac:dyDescent="0.25">
      <c r="C49" s="3" t="s">
        <v>30</v>
      </c>
      <c r="D49" s="2" t="e">
        <f>$D$26*$D$5/(($D$13*0.7)*(1-EXP(-D$18*$C48/($D$13*0.7))))</f>
        <v>#DIV/0!</v>
      </c>
      <c r="E49" s="2" t="e">
        <f t="shared" ref="E49:Q49" si="21">$D$26*$D$5/(($D$13*0.7)*(1-EXP(-E$18*$C48/($D$13*0.7))))</f>
        <v>#DIV/0!</v>
      </c>
      <c r="F49" s="2" t="e">
        <f t="shared" si="21"/>
        <v>#DIV/0!</v>
      </c>
      <c r="G49" s="2" t="e">
        <f t="shared" si="21"/>
        <v>#DIV/0!</v>
      </c>
      <c r="H49" s="2" t="e">
        <f t="shared" si="21"/>
        <v>#DIV/0!</v>
      </c>
      <c r="I49" s="2" t="e">
        <f t="shared" si="21"/>
        <v>#DIV/0!</v>
      </c>
      <c r="J49" s="2" t="e">
        <f t="shared" si="21"/>
        <v>#DIV/0!</v>
      </c>
      <c r="K49" s="2" t="e">
        <f t="shared" si="21"/>
        <v>#DIV/0!</v>
      </c>
      <c r="L49" s="2" t="e">
        <f t="shared" si="21"/>
        <v>#DIV/0!</v>
      </c>
      <c r="M49" s="2" t="e">
        <f t="shared" si="21"/>
        <v>#DIV/0!</v>
      </c>
      <c r="N49" s="2" t="e">
        <f t="shared" si="21"/>
        <v>#DIV/0!</v>
      </c>
      <c r="O49" s="2" t="e">
        <f t="shared" si="21"/>
        <v>#DIV/0!</v>
      </c>
      <c r="P49" s="2" t="e">
        <f t="shared" si="21"/>
        <v>#DIV/0!</v>
      </c>
      <c r="Q49" s="2" t="e">
        <f t="shared" si="21"/>
        <v>#DIV/0!</v>
      </c>
    </row>
    <row r="50" spans="2:17" x14ac:dyDescent="0.25">
      <c r="C50" s="3" t="s">
        <v>31</v>
      </c>
      <c r="D50" s="2" t="e">
        <f t="shared" ref="D50:Q50" si="22">D49*EXP(-D$19*$C48)</f>
        <v>#DIV/0!</v>
      </c>
      <c r="E50" s="2" t="e">
        <f t="shared" si="22"/>
        <v>#DIV/0!</v>
      </c>
      <c r="F50" s="2" t="e">
        <f t="shared" si="22"/>
        <v>#DIV/0!</v>
      </c>
      <c r="G50" s="2" t="e">
        <f t="shared" si="22"/>
        <v>#DIV/0!</v>
      </c>
      <c r="H50" s="2" t="e">
        <f t="shared" si="22"/>
        <v>#DIV/0!</v>
      </c>
      <c r="I50" s="2" t="e">
        <f t="shared" si="22"/>
        <v>#DIV/0!</v>
      </c>
      <c r="J50" s="2" t="e">
        <f t="shared" si="22"/>
        <v>#DIV/0!</v>
      </c>
      <c r="K50" s="2" t="e">
        <f t="shared" si="22"/>
        <v>#DIV/0!</v>
      </c>
      <c r="L50" s="2" t="e">
        <f t="shared" si="22"/>
        <v>#DIV/0!</v>
      </c>
      <c r="M50" s="2" t="e">
        <f t="shared" si="22"/>
        <v>#DIV/0!</v>
      </c>
      <c r="N50" s="2" t="e">
        <f t="shared" si="22"/>
        <v>#DIV/0!</v>
      </c>
      <c r="O50" s="2" t="e">
        <f t="shared" si="22"/>
        <v>#DIV/0!</v>
      </c>
      <c r="P50" s="2" t="e">
        <f t="shared" si="22"/>
        <v>#DIV/0!</v>
      </c>
      <c r="Q50" s="2" t="e">
        <f t="shared" si="22"/>
        <v>#DIV/0!</v>
      </c>
    </row>
    <row r="51" spans="2:17" ht="15.75" thickBot="1" x14ac:dyDescent="0.3">
      <c r="C51" s="3" t="s">
        <v>32</v>
      </c>
      <c r="D51" s="2" t="e">
        <f t="shared" ref="D51:Q51" si="23">D49*EXP(-(D$18*12/($D$13*0.7)))</f>
        <v>#DIV/0!</v>
      </c>
      <c r="E51" s="2" t="e">
        <f t="shared" si="23"/>
        <v>#DIV/0!</v>
      </c>
      <c r="F51" s="2" t="e">
        <f t="shared" si="23"/>
        <v>#DIV/0!</v>
      </c>
      <c r="G51" s="2" t="e">
        <f t="shared" si="23"/>
        <v>#DIV/0!</v>
      </c>
      <c r="H51" s="2" t="e">
        <f t="shared" si="23"/>
        <v>#DIV/0!</v>
      </c>
      <c r="I51" s="2" t="e">
        <f t="shared" si="23"/>
        <v>#DIV/0!</v>
      </c>
      <c r="J51" s="2" t="e">
        <f t="shared" si="23"/>
        <v>#DIV/0!</v>
      </c>
      <c r="K51" s="2" t="e">
        <f t="shared" si="23"/>
        <v>#DIV/0!</v>
      </c>
      <c r="L51" s="2" t="e">
        <f t="shared" si="23"/>
        <v>#DIV/0!</v>
      </c>
      <c r="M51" s="2" t="e">
        <f t="shared" si="23"/>
        <v>#DIV/0!</v>
      </c>
      <c r="N51" s="2" t="e">
        <f t="shared" si="23"/>
        <v>#DIV/0!</v>
      </c>
      <c r="O51" s="2" t="e">
        <f t="shared" si="23"/>
        <v>#DIV/0!</v>
      </c>
      <c r="P51" s="2" t="e">
        <f t="shared" si="23"/>
        <v>#DIV/0!</v>
      </c>
      <c r="Q51" s="2" t="e">
        <f t="shared" si="23"/>
        <v>#DIV/0!</v>
      </c>
    </row>
    <row r="52" spans="2:17" ht="15.75" thickBot="1" x14ac:dyDescent="0.3">
      <c r="B52" s="10" t="s">
        <v>29</v>
      </c>
      <c r="C52" s="12">
        <v>96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x14ac:dyDescent="0.25">
      <c r="C53" s="3" t="s">
        <v>30</v>
      </c>
      <c r="D53" s="2" t="e">
        <f>$D$26*$D$5/(($D$13*0.7)*(1-EXP(-D$18*$C52/($D$13*0.7))))</f>
        <v>#DIV/0!</v>
      </c>
      <c r="E53" s="2" t="e">
        <f t="shared" ref="E53:Q53" si="24">$D$26*$D$5/(($D$13*0.7)*(1-EXP(-E$18*$C52/($D$13*0.7))))</f>
        <v>#DIV/0!</v>
      </c>
      <c r="F53" s="2" t="e">
        <f t="shared" si="24"/>
        <v>#DIV/0!</v>
      </c>
      <c r="G53" s="2" t="e">
        <f t="shared" si="24"/>
        <v>#DIV/0!</v>
      </c>
      <c r="H53" s="2" t="e">
        <f t="shared" si="24"/>
        <v>#DIV/0!</v>
      </c>
      <c r="I53" s="2" t="e">
        <f t="shared" si="24"/>
        <v>#DIV/0!</v>
      </c>
      <c r="J53" s="2" t="e">
        <f t="shared" si="24"/>
        <v>#DIV/0!</v>
      </c>
      <c r="K53" s="2" t="e">
        <f t="shared" si="24"/>
        <v>#DIV/0!</v>
      </c>
      <c r="L53" s="2" t="e">
        <f t="shared" si="24"/>
        <v>#DIV/0!</v>
      </c>
      <c r="M53" s="2" t="e">
        <f t="shared" si="24"/>
        <v>#DIV/0!</v>
      </c>
      <c r="N53" s="2" t="e">
        <f t="shared" si="24"/>
        <v>#DIV/0!</v>
      </c>
      <c r="O53" s="2" t="e">
        <f t="shared" si="24"/>
        <v>#DIV/0!</v>
      </c>
      <c r="P53" s="2" t="e">
        <f t="shared" si="24"/>
        <v>#DIV/0!</v>
      </c>
      <c r="Q53" s="2" t="e">
        <f t="shared" si="24"/>
        <v>#DIV/0!</v>
      </c>
    </row>
    <row r="54" spans="2:17" x14ac:dyDescent="0.25">
      <c r="C54" s="3" t="s">
        <v>31</v>
      </c>
      <c r="D54" s="2" t="e">
        <f t="shared" ref="D54:Q54" si="25">D53*EXP(-D$19*$C52)</f>
        <v>#DIV/0!</v>
      </c>
      <c r="E54" s="2" t="e">
        <f t="shared" si="25"/>
        <v>#DIV/0!</v>
      </c>
      <c r="F54" s="2" t="e">
        <f t="shared" si="25"/>
        <v>#DIV/0!</v>
      </c>
      <c r="G54" s="2" t="e">
        <f t="shared" si="25"/>
        <v>#DIV/0!</v>
      </c>
      <c r="H54" s="2" t="e">
        <f t="shared" si="25"/>
        <v>#DIV/0!</v>
      </c>
      <c r="I54" s="2" t="e">
        <f t="shared" si="25"/>
        <v>#DIV/0!</v>
      </c>
      <c r="J54" s="2" t="e">
        <f t="shared" si="25"/>
        <v>#DIV/0!</v>
      </c>
      <c r="K54" s="2" t="e">
        <f t="shared" si="25"/>
        <v>#DIV/0!</v>
      </c>
      <c r="L54" s="2" t="e">
        <f t="shared" si="25"/>
        <v>#DIV/0!</v>
      </c>
      <c r="M54" s="2" t="e">
        <f t="shared" si="25"/>
        <v>#DIV/0!</v>
      </c>
      <c r="N54" s="2" t="e">
        <f t="shared" si="25"/>
        <v>#DIV/0!</v>
      </c>
      <c r="O54" s="2" t="e">
        <f t="shared" si="25"/>
        <v>#DIV/0!</v>
      </c>
      <c r="P54" s="2" t="e">
        <f t="shared" si="25"/>
        <v>#DIV/0!</v>
      </c>
      <c r="Q54" s="2" t="e">
        <f t="shared" si="25"/>
        <v>#DIV/0!</v>
      </c>
    </row>
    <row r="55" spans="2:17" ht="15.75" thickBot="1" x14ac:dyDescent="0.3">
      <c r="C55" s="3" t="s">
        <v>32</v>
      </c>
      <c r="D55" s="2" t="e">
        <f t="shared" ref="D55:Q55" si="26">D53*EXP(-(D$18*12/($D$13*0.7)))</f>
        <v>#DIV/0!</v>
      </c>
      <c r="E55" s="2" t="e">
        <f t="shared" si="26"/>
        <v>#DIV/0!</v>
      </c>
      <c r="F55" s="2" t="e">
        <f t="shared" si="26"/>
        <v>#DIV/0!</v>
      </c>
      <c r="G55" s="2" t="e">
        <f t="shared" si="26"/>
        <v>#DIV/0!</v>
      </c>
      <c r="H55" s="2" t="e">
        <f t="shared" si="26"/>
        <v>#DIV/0!</v>
      </c>
      <c r="I55" s="2" t="e">
        <f t="shared" si="26"/>
        <v>#DIV/0!</v>
      </c>
      <c r="J55" s="2" t="e">
        <f t="shared" si="26"/>
        <v>#DIV/0!</v>
      </c>
      <c r="K55" s="2" t="e">
        <f t="shared" si="26"/>
        <v>#DIV/0!</v>
      </c>
      <c r="L55" s="2" t="e">
        <f t="shared" si="26"/>
        <v>#DIV/0!</v>
      </c>
      <c r="M55" s="2" t="e">
        <f t="shared" si="26"/>
        <v>#DIV/0!</v>
      </c>
      <c r="N55" s="2" t="e">
        <f t="shared" si="26"/>
        <v>#DIV/0!</v>
      </c>
      <c r="O55" s="2" t="e">
        <f t="shared" si="26"/>
        <v>#DIV/0!</v>
      </c>
      <c r="P55" s="2" t="e">
        <f t="shared" si="26"/>
        <v>#DIV/0!</v>
      </c>
      <c r="Q55" s="2" t="e">
        <f t="shared" si="26"/>
        <v>#DIV/0!</v>
      </c>
    </row>
    <row r="56" spans="2:17" ht="15.75" thickBot="1" x14ac:dyDescent="0.3">
      <c r="B56" s="10" t="s">
        <v>29</v>
      </c>
      <c r="C56" s="12">
        <v>120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x14ac:dyDescent="0.25">
      <c r="C57" s="3" t="s">
        <v>30</v>
      </c>
      <c r="D57" s="2" t="e">
        <f>$D$26*$D$5/(($D$13*0.7)*(1-EXP(-D$18*$C56/($D$13*0.7))))</f>
        <v>#DIV/0!</v>
      </c>
      <c r="E57" s="2" t="e">
        <f t="shared" ref="E57:Q57" si="27">$D$26*$D$5/(($D$13*0.7)*(1-EXP(-E$18*$C56/($D$13*0.7))))</f>
        <v>#DIV/0!</v>
      </c>
      <c r="F57" s="2" t="e">
        <f t="shared" si="27"/>
        <v>#DIV/0!</v>
      </c>
      <c r="G57" s="2" t="e">
        <f t="shared" si="27"/>
        <v>#DIV/0!</v>
      </c>
      <c r="H57" s="2" t="e">
        <f t="shared" si="27"/>
        <v>#DIV/0!</v>
      </c>
      <c r="I57" s="2" t="e">
        <f t="shared" si="27"/>
        <v>#DIV/0!</v>
      </c>
      <c r="J57" s="2" t="e">
        <f t="shared" si="27"/>
        <v>#DIV/0!</v>
      </c>
      <c r="K57" s="2" t="e">
        <f t="shared" si="27"/>
        <v>#DIV/0!</v>
      </c>
      <c r="L57" s="2" t="e">
        <f t="shared" si="27"/>
        <v>#DIV/0!</v>
      </c>
      <c r="M57" s="2" t="e">
        <f t="shared" si="27"/>
        <v>#DIV/0!</v>
      </c>
      <c r="N57" s="2" t="e">
        <f t="shared" si="27"/>
        <v>#DIV/0!</v>
      </c>
      <c r="O57" s="2" t="e">
        <f t="shared" si="27"/>
        <v>#DIV/0!</v>
      </c>
      <c r="P57" s="2" t="e">
        <f t="shared" si="27"/>
        <v>#DIV/0!</v>
      </c>
      <c r="Q57" s="2" t="e">
        <f t="shared" si="27"/>
        <v>#DIV/0!</v>
      </c>
    </row>
    <row r="58" spans="2:17" x14ac:dyDescent="0.25">
      <c r="C58" s="3" t="s">
        <v>31</v>
      </c>
      <c r="D58" s="2" t="e">
        <f t="shared" ref="D58:Q58" si="28">D57*EXP(-D$19*$C56)</f>
        <v>#DIV/0!</v>
      </c>
      <c r="E58" s="2" t="e">
        <f t="shared" si="28"/>
        <v>#DIV/0!</v>
      </c>
      <c r="F58" s="2" t="e">
        <f t="shared" si="28"/>
        <v>#DIV/0!</v>
      </c>
      <c r="G58" s="2" t="e">
        <f t="shared" si="28"/>
        <v>#DIV/0!</v>
      </c>
      <c r="H58" s="2" t="e">
        <f t="shared" si="28"/>
        <v>#DIV/0!</v>
      </c>
      <c r="I58" s="2" t="e">
        <f t="shared" si="28"/>
        <v>#DIV/0!</v>
      </c>
      <c r="J58" s="2" t="e">
        <f t="shared" si="28"/>
        <v>#DIV/0!</v>
      </c>
      <c r="K58" s="2" t="e">
        <f t="shared" si="28"/>
        <v>#DIV/0!</v>
      </c>
      <c r="L58" s="2" t="e">
        <f t="shared" si="28"/>
        <v>#DIV/0!</v>
      </c>
      <c r="M58" s="2" t="e">
        <f t="shared" si="28"/>
        <v>#DIV/0!</v>
      </c>
      <c r="N58" s="2" t="e">
        <f t="shared" si="28"/>
        <v>#DIV/0!</v>
      </c>
      <c r="O58" s="2" t="e">
        <f t="shared" si="28"/>
        <v>#DIV/0!</v>
      </c>
      <c r="P58" s="2" t="e">
        <f t="shared" si="28"/>
        <v>#DIV/0!</v>
      </c>
      <c r="Q58" s="2" t="e">
        <f t="shared" si="28"/>
        <v>#DIV/0!</v>
      </c>
    </row>
    <row r="59" spans="2:17" x14ac:dyDescent="0.25">
      <c r="C59" s="3" t="s">
        <v>32</v>
      </c>
      <c r="D59" s="2" t="e">
        <f t="shared" ref="D59:Q59" si="29">D57*EXP(-(D$18*12/($D$13*0.7)))</f>
        <v>#DIV/0!</v>
      </c>
      <c r="E59" s="2" t="e">
        <f t="shared" si="29"/>
        <v>#DIV/0!</v>
      </c>
      <c r="F59" s="2" t="e">
        <f t="shared" si="29"/>
        <v>#DIV/0!</v>
      </c>
      <c r="G59" s="2" t="e">
        <f t="shared" si="29"/>
        <v>#DIV/0!</v>
      </c>
      <c r="H59" s="2" t="e">
        <f t="shared" si="29"/>
        <v>#DIV/0!</v>
      </c>
      <c r="I59" s="2" t="e">
        <f t="shared" si="29"/>
        <v>#DIV/0!</v>
      </c>
      <c r="J59" s="2" t="e">
        <f t="shared" si="29"/>
        <v>#DIV/0!</v>
      </c>
      <c r="K59" s="2" t="e">
        <f t="shared" si="29"/>
        <v>#DIV/0!</v>
      </c>
      <c r="L59" s="2" t="e">
        <f t="shared" si="29"/>
        <v>#DIV/0!</v>
      </c>
      <c r="M59" s="2" t="e">
        <f t="shared" si="29"/>
        <v>#DIV/0!</v>
      </c>
      <c r="N59" s="2" t="e">
        <f t="shared" si="29"/>
        <v>#DIV/0!</v>
      </c>
      <c r="O59" s="2" t="e">
        <f t="shared" si="29"/>
        <v>#DIV/0!</v>
      </c>
      <c r="P59" s="2" t="e">
        <f t="shared" si="29"/>
        <v>#DIV/0!</v>
      </c>
      <c r="Q59" s="2" t="e">
        <f t="shared" si="29"/>
        <v>#DIV/0!</v>
      </c>
    </row>
    <row r="60" spans="2:17" x14ac:dyDescent="0.25">
      <c r="H60" s="3" t="s">
        <v>33</v>
      </c>
    </row>
    <row r="61" spans="2:17" x14ac:dyDescent="0.25">
      <c r="H61" s="3"/>
    </row>
    <row r="62" spans="2:17" x14ac:dyDescent="0.25">
      <c r="H62" s="3"/>
    </row>
    <row r="63" spans="2:17" x14ac:dyDescent="0.25">
      <c r="E63" s="3" t="s">
        <v>34</v>
      </c>
      <c r="H63" s="3"/>
    </row>
    <row r="64" spans="2:17" x14ac:dyDescent="0.25">
      <c r="E64" s="3" t="s">
        <v>135</v>
      </c>
      <c r="H64" s="3"/>
    </row>
    <row r="65" spans="2:17" x14ac:dyDescent="0.25">
      <c r="E65" s="3" t="s">
        <v>36</v>
      </c>
      <c r="H65" s="3"/>
    </row>
    <row r="66" spans="2:17" x14ac:dyDescent="0.25">
      <c r="C66" s="3" t="s">
        <v>37</v>
      </c>
    </row>
    <row r="67" spans="2:17" x14ac:dyDescent="0.25">
      <c r="C67" s="3" t="s">
        <v>38</v>
      </c>
      <c r="D67" s="6" t="e">
        <f>D17</f>
        <v>#DIV/0!</v>
      </c>
      <c r="E67" s="3">
        <v>120</v>
      </c>
      <c r="F67" s="3">
        <v>110</v>
      </c>
      <c r="G67" s="3">
        <v>100</v>
      </c>
      <c r="H67" s="3">
        <v>90</v>
      </c>
      <c r="I67" s="3">
        <v>80</v>
      </c>
      <c r="J67" s="3">
        <v>70</v>
      </c>
      <c r="K67" s="3">
        <v>60</v>
      </c>
      <c r="L67" s="3">
        <v>50</v>
      </c>
      <c r="M67" s="3">
        <v>40</v>
      </c>
      <c r="N67" s="3">
        <v>30</v>
      </c>
      <c r="O67" s="3">
        <v>20</v>
      </c>
      <c r="P67" s="3">
        <v>10</v>
      </c>
      <c r="Q67" s="3">
        <v>5</v>
      </c>
    </row>
    <row r="68" spans="2:17" x14ac:dyDescent="0.25">
      <c r="C68" s="3" t="s">
        <v>25</v>
      </c>
      <c r="D68" s="9" t="e">
        <f t="shared" ref="D68:Q68" si="30">0.25*D17*60/1000</f>
        <v>#DIV/0!</v>
      </c>
      <c r="E68" s="5">
        <f t="shared" si="30"/>
        <v>1.8</v>
      </c>
      <c r="F68" s="5">
        <f t="shared" si="30"/>
        <v>1.65</v>
      </c>
      <c r="G68" s="5">
        <f t="shared" si="30"/>
        <v>1.5</v>
      </c>
      <c r="H68" s="5">
        <f t="shared" si="30"/>
        <v>1.35</v>
      </c>
      <c r="I68" s="5">
        <f t="shared" si="30"/>
        <v>1.2</v>
      </c>
      <c r="J68" s="5">
        <f t="shared" si="30"/>
        <v>1.05</v>
      </c>
      <c r="K68" s="5">
        <f t="shared" si="30"/>
        <v>0.9</v>
      </c>
      <c r="L68" s="5">
        <f t="shared" si="30"/>
        <v>0.75</v>
      </c>
      <c r="M68" s="5">
        <f t="shared" si="30"/>
        <v>0.6</v>
      </c>
      <c r="N68" s="5">
        <f t="shared" si="30"/>
        <v>0.45</v>
      </c>
      <c r="O68" s="5">
        <f t="shared" si="30"/>
        <v>0.3</v>
      </c>
      <c r="P68" s="5">
        <f t="shared" si="30"/>
        <v>0.15</v>
      </c>
      <c r="Q68" s="5">
        <f t="shared" si="30"/>
        <v>7.4999999999999997E-2</v>
      </c>
    </row>
    <row r="69" spans="2:17" x14ac:dyDescent="0.25">
      <c r="C69" s="3" t="s">
        <v>39</v>
      </c>
      <c r="D69" s="1" t="e">
        <f>0.693/(D68/($D$13*0.7))</f>
        <v>#DIV/0!</v>
      </c>
      <c r="E69" s="1" t="e">
        <f>0.693/(E68/($D$13*0.7))</f>
        <v>#DIV/0!</v>
      </c>
      <c r="F69" s="1" t="e">
        <f>0.693/(F68/($D$13*0.7))</f>
        <v>#DIV/0!</v>
      </c>
      <c r="G69" s="1" t="e">
        <f t="shared" ref="G69:Q69" si="31">0.693/(G68/($D$13*0.7))</f>
        <v>#DIV/0!</v>
      </c>
      <c r="H69" s="1" t="e">
        <f t="shared" si="31"/>
        <v>#DIV/0!</v>
      </c>
      <c r="I69" s="1" t="e">
        <f t="shared" si="31"/>
        <v>#DIV/0!</v>
      </c>
      <c r="J69" s="1" t="e">
        <f t="shared" si="31"/>
        <v>#DIV/0!</v>
      </c>
      <c r="K69" s="1" t="e">
        <f t="shared" si="31"/>
        <v>#DIV/0!</v>
      </c>
      <c r="L69" s="1" t="e">
        <f t="shared" si="31"/>
        <v>#DIV/0!</v>
      </c>
      <c r="M69" s="1" t="e">
        <f t="shared" si="31"/>
        <v>#DIV/0!</v>
      </c>
      <c r="N69" s="1" t="e">
        <f t="shared" si="31"/>
        <v>#DIV/0!</v>
      </c>
      <c r="O69" s="1" t="e">
        <f t="shared" si="31"/>
        <v>#DIV/0!</v>
      </c>
      <c r="P69" s="1" t="e">
        <f t="shared" si="31"/>
        <v>#DIV/0!</v>
      </c>
      <c r="Q69" s="1" t="e">
        <f t="shared" si="31"/>
        <v>#DIV/0!</v>
      </c>
    </row>
    <row r="70" spans="2:17" x14ac:dyDescent="0.25">
      <c r="C70" s="3" t="s">
        <v>40</v>
      </c>
      <c r="D70" s="8" t="e">
        <f>D69*5/$C71</f>
        <v>#DIV/0!</v>
      </c>
      <c r="E70" s="8" t="e">
        <f t="shared" ref="E70:P70" si="32">E69*5/$C71</f>
        <v>#DIV/0!</v>
      </c>
      <c r="F70" s="8" t="e">
        <f t="shared" si="32"/>
        <v>#DIV/0!</v>
      </c>
      <c r="G70" s="8" t="e">
        <f t="shared" si="32"/>
        <v>#DIV/0!</v>
      </c>
      <c r="H70" s="8" t="e">
        <f t="shared" si="32"/>
        <v>#DIV/0!</v>
      </c>
      <c r="I70" s="8" t="e">
        <f t="shared" si="32"/>
        <v>#DIV/0!</v>
      </c>
      <c r="J70" s="8" t="e">
        <f t="shared" si="32"/>
        <v>#DIV/0!</v>
      </c>
      <c r="K70" s="8" t="e">
        <f t="shared" si="32"/>
        <v>#DIV/0!</v>
      </c>
      <c r="L70" s="8" t="e">
        <f t="shared" si="32"/>
        <v>#DIV/0!</v>
      </c>
      <c r="M70" s="8" t="e">
        <f t="shared" si="32"/>
        <v>#DIV/0!</v>
      </c>
      <c r="N70" s="8" t="e">
        <f t="shared" si="32"/>
        <v>#DIV/0!</v>
      </c>
      <c r="O70" s="8" t="e">
        <f t="shared" si="32"/>
        <v>#DIV/0!</v>
      </c>
      <c r="P70" s="8" t="e">
        <f t="shared" si="32"/>
        <v>#DIV/0!</v>
      </c>
      <c r="Q70" s="8" t="e">
        <f>Q69*5/$C71</f>
        <v>#DIV/0!</v>
      </c>
    </row>
    <row r="71" spans="2:17" x14ac:dyDescent="0.25">
      <c r="B71" s="19" t="s">
        <v>41</v>
      </c>
      <c r="C71" s="13"/>
    </row>
    <row r="72" spans="2:17" x14ac:dyDescent="0.25">
      <c r="B72" s="3" t="s">
        <v>42</v>
      </c>
      <c r="C72" s="3" t="s">
        <v>30</v>
      </c>
      <c r="D72" s="2" t="e">
        <f>$D$26*$D$5/($D$13*0.7)</f>
        <v>#DIV/0!</v>
      </c>
      <c r="E72" s="2" t="e">
        <f t="shared" ref="E72:P72" si="33">$D$26*$D$5/($D$13*0.7)</f>
        <v>#DIV/0!</v>
      </c>
      <c r="F72" s="2" t="e">
        <f t="shared" si="33"/>
        <v>#DIV/0!</v>
      </c>
      <c r="G72" s="2" t="e">
        <f t="shared" si="33"/>
        <v>#DIV/0!</v>
      </c>
      <c r="H72" s="2" t="e">
        <f t="shared" si="33"/>
        <v>#DIV/0!</v>
      </c>
      <c r="I72" s="2" t="e">
        <f t="shared" si="33"/>
        <v>#DIV/0!</v>
      </c>
      <c r="J72" s="2" t="e">
        <f t="shared" si="33"/>
        <v>#DIV/0!</v>
      </c>
      <c r="K72" s="2" t="e">
        <f t="shared" si="33"/>
        <v>#DIV/0!</v>
      </c>
      <c r="L72" s="2" t="e">
        <f t="shared" si="33"/>
        <v>#DIV/0!</v>
      </c>
      <c r="M72" s="2" t="e">
        <f t="shared" si="33"/>
        <v>#DIV/0!</v>
      </c>
      <c r="N72" s="2" t="e">
        <f t="shared" si="33"/>
        <v>#DIV/0!</v>
      </c>
      <c r="O72" s="2" t="e">
        <f t="shared" si="33"/>
        <v>#DIV/0!</v>
      </c>
      <c r="P72" s="2" t="e">
        <f t="shared" si="33"/>
        <v>#DIV/0!</v>
      </c>
      <c r="Q72" s="2" t="e">
        <f>$D$26*$D$5/($D$13*0.7)</f>
        <v>#DIV/0!</v>
      </c>
    </row>
    <row r="73" spans="2:17" x14ac:dyDescent="0.25">
      <c r="B73" s="3" t="s">
        <v>42</v>
      </c>
      <c r="C73" s="3" t="s">
        <v>43</v>
      </c>
      <c r="D73" s="2" t="e">
        <f>D72*EXP(-D$18/($D$13*0.7)*12)</f>
        <v>#DIV/0!</v>
      </c>
      <c r="E73" s="2" t="e">
        <f t="shared" ref="E73:Q73" si="34">E72*EXP(-E$18/($D$13*0.7)*12)</f>
        <v>#DIV/0!</v>
      </c>
      <c r="F73" s="2" t="e">
        <f t="shared" si="34"/>
        <v>#DIV/0!</v>
      </c>
      <c r="G73" s="2" t="e">
        <f t="shared" si="34"/>
        <v>#DIV/0!</v>
      </c>
      <c r="H73" s="2" t="e">
        <f t="shared" si="34"/>
        <v>#DIV/0!</v>
      </c>
      <c r="I73" s="2" t="e">
        <f t="shared" si="34"/>
        <v>#DIV/0!</v>
      </c>
      <c r="J73" s="2" t="e">
        <f t="shared" si="34"/>
        <v>#DIV/0!</v>
      </c>
      <c r="K73" s="2" t="e">
        <f t="shared" si="34"/>
        <v>#DIV/0!</v>
      </c>
      <c r="L73" s="2" t="e">
        <f t="shared" si="34"/>
        <v>#DIV/0!</v>
      </c>
      <c r="M73" s="2" t="e">
        <f t="shared" si="34"/>
        <v>#DIV/0!</v>
      </c>
      <c r="N73" s="2" t="e">
        <f t="shared" si="34"/>
        <v>#DIV/0!</v>
      </c>
      <c r="O73" s="2" t="e">
        <f t="shared" si="34"/>
        <v>#DIV/0!</v>
      </c>
      <c r="P73" s="2" t="e">
        <f t="shared" si="34"/>
        <v>#DIV/0!</v>
      </c>
      <c r="Q73" s="2" t="e">
        <f t="shared" si="34"/>
        <v>#DIV/0!</v>
      </c>
    </row>
    <row r="74" spans="2:17" x14ac:dyDescent="0.25">
      <c r="B74" s="3" t="s">
        <v>44</v>
      </c>
      <c r="C74" s="3" t="s">
        <v>45</v>
      </c>
      <c r="D74" s="2" t="e">
        <f t="shared" ref="D74:Q74" si="35">D72*EXP(-D$18/(0.7*$D$13)*$C$71)</f>
        <v>#DIV/0!</v>
      </c>
      <c r="E74" s="2" t="e">
        <f t="shared" si="35"/>
        <v>#DIV/0!</v>
      </c>
      <c r="F74" s="2" t="e">
        <f t="shared" si="35"/>
        <v>#DIV/0!</v>
      </c>
      <c r="G74" s="2" t="e">
        <f t="shared" si="35"/>
        <v>#DIV/0!</v>
      </c>
      <c r="H74" s="2" t="e">
        <f t="shared" si="35"/>
        <v>#DIV/0!</v>
      </c>
      <c r="I74" s="2" t="e">
        <f t="shared" si="35"/>
        <v>#DIV/0!</v>
      </c>
      <c r="J74" s="2" t="e">
        <f t="shared" si="35"/>
        <v>#DIV/0!</v>
      </c>
      <c r="K74" s="2" t="e">
        <f t="shared" si="35"/>
        <v>#DIV/0!</v>
      </c>
      <c r="L74" s="2" t="e">
        <f t="shared" si="35"/>
        <v>#DIV/0!</v>
      </c>
      <c r="M74" s="2" t="e">
        <f t="shared" si="35"/>
        <v>#DIV/0!</v>
      </c>
      <c r="N74" s="2" t="e">
        <f t="shared" si="35"/>
        <v>#DIV/0!</v>
      </c>
      <c r="O74" s="2" t="e">
        <f t="shared" si="35"/>
        <v>#DIV/0!</v>
      </c>
      <c r="P74" s="2" t="e">
        <f t="shared" si="35"/>
        <v>#DIV/0!</v>
      </c>
      <c r="Q74" s="2" t="e">
        <f t="shared" si="35"/>
        <v>#DIV/0!</v>
      </c>
    </row>
    <row r="75" spans="2:17" x14ac:dyDescent="0.25">
      <c r="B75" s="3" t="s">
        <v>44</v>
      </c>
      <c r="C75" s="3" t="s">
        <v>30</v>
      </c>
      <c r="D75" s="2" t="e">
        <f>D74+D$72</f>
        <v>#DIV/0!</v>
      </c>
      <c r="E75" s="2" t="e">
        <f t="shared" ref="E75:Q75" si="36">E74+E$72</f>
        <v>#DIV/0!</v>
      </c>
      <c r="F75" s="2" t="e">
        <f t="shared" si="36"/>
        <v>#DIV/0!</v>
      </c>
      <c r="G75" s="2" t="e">
        <f t="shared" si="36"/>
        <v>#DIV/0!</v>
      </c>
      <c r="H75" s="2" t="e">
        <f t="shared" si="36"/>
        <v>#DIV/0!</v>
      </c>
      <c r="I75" s="2" t="e">
        <f t="shared" si="36"/>
        <v>#DIV/0!</v>
      </c>
      <c r="J75" s="2" t="e">
        <f t="shared" si="36"/>
        <v>#DIV/0!</v>
      </c>
      <c r="K75" s="2" t="e">
        <f t="shared" si="36"/>
        <v>#DIV/0!</v>
      </c>
      <c r="L75" s="2" t="e">
        <f t="shared" si="36"/>
        <v>#DIV/0!</v>
      </c>
      <c r="M75" s="2" t="e">
        <f t="shared" si="36"/>
        <v>#DIV/0!</v>
      </c>
      <c r="N75" s="2" t="e">
        <f t="shared" si="36"/>
        <v>#DIV/0!</v>
      </c>
      <c r="O75" s="2" t="e">
        <f t="shared" si="36"/>
        <v>#DIV/0!</v>
      </c>
      <c r="P75" s="2" t="e">
        <f t="shared" si="36"/>
        <v>#DIV/0!</v>
      </c>
      <c r="Q75" s="2" t="e">
        <f t="shared" si="36"/>
        <v>#DIV/0!</v>
      </c>
    </row>
    <row r="76" spans="2:17" x14ac:dyDescent="0.25">
      <c r="B76" s="3" t="s">
        <v>44</v>
      </c>
      <c r="C76" s="3" t="s">
        <v>43</v>
      </c>
      <c r="D76" s="2" t="e">
        <f t="shared" ref="D76:Q76" si="37">D75*EXP(-D$18/($D$13*0.7)*12)</f>
        <v>#DIV/0!</v>
      </c>
      <c r="E76" s="2" t="e">
        <f t="shared" si="37"/>
        <v>#DIV/0!</v>
      </c>
      <c r="F76" s="2" t="e">
        <f t="shared" si="37"/>
        <v>#DIV/0!</v>
      </c>
      <c r="G76" s="2" t="e">
        <f t="shared" si="37"/>
        <v>#DIV/0!</v>
      </c>
      <c r="H76" s="2" t="e">
        <f t="shared" si="37"/>
        <v>#DIV/0!</v>
      </c>
      <c r="I76" s="2" t="e">
        <f t="shared" si="37"/>
        <v>#DIV/0!</v>
      </c>
      <c r="J76" s="2" t="e">
        <f t="shared" si="37"/>
        <v>#DIV/0!</v>
      </c>
      <c r="K76" s="2" t="e">
        <f t="shared" si="37"/>
        <v>#DIV/0!</v>
      </c>
      <c r="L76" s="2" t="e">
        <f t="shared" si="37"/>
        <v>#DIV/0!</v>
      </c>
      <c r="M76" s="2" t="e">
        <f t="shared" si="37"/>
        <v>#DIV/0!</v>
      </c>
      <c r="N76" s="2" t="e">
        <f t="shared" si="37"/>
        <v>#DIV/0!</v>
      </c>
      <c r="O76" s="2" t="e">
        <f t="shared" si="37"/>
        <v>#DIV/0!</v>
      </c>
      <c r="P76" s="2" t="e">
        <f t="shared" si="37"/>
        <v>#DIV/0!</v>
      </c>
      <c r="Q76" s="2" t="e">
        <f t="shared" si="37"/>
        <v>#DIV/0!</v>
      </c>
    </row>
    <row r="77" spans="2:17" x14ac:dyDescent="0.25">
      <c r="B77" s="3" t="s">
        <v>46</v>
      </c>
      <c r="C77" s="3" t="s">
        <v>47</v>
      </c>
      <c r="D77" s="2" t="e">
        <f t="shared" ref="D77:Q77" si="38">D75*EXP(-D$18/(0.7*$D$13)*$C$71)</f>
        <v>#DIV/0!</v>
      </c>
      <c r="E77" s="2" t="e">
        <f t="shared" si="38"/>
        <v>#DIV/0!</v>
      </c>
      <c r="F77" s="2" t="e">
        <f t="shared" si="38"/>
        <v>#DIV/0!</v>
      </c>
      <c r="G77" s="2" t="e">
        <f t="shared" si="38"/>
        <v>#DIV/0!</v>
      </c>
      <c r="H77" s="2" t="e">
        <f t="shared" si="38"/>
        <v>#DIV/0!</v>
      </c>
      <c r="I77" s="2" t="e">
        <f t="shared" si="38"/>
        <v>#DIV/0!</v>
      </c>
      <c r="J77" s="2" t="e">
        <f t="shared" si="38"/>
        <v>#DIV/0!</v>
      </c>
      <c r="K77" s="2" t="e">
        <f t="shared" si="38"/>
        <v>#DIV/0!</v>
      </c>
      <c r="L77" s="2" t="e">
        <f t="shared" si="38"/>
        <v>#DIV/0!</v>
      </c>
      <c r="M77" s="2" t="e">
        <f t="shared" si="38"/>
        <v>#DIV/0!</v>
      </c>
      <c r="N77" s="2" t="e">
        <f t="shared" si="38"/>
        <v>#DIV/0!</v>
      </c>
      <c r="O77" s="2" t="e">
        <f t="shared" si="38"/>
        <v>#DIV/0!</v>
      </c>
      <c r="P77" s="2" t="e">
        <f t="shared" si="38"/>
        <v>#DIV/0!</v>
      </c>
      <c r="Q77" s="2" t="e">
        <f t="shared" si="38"/>
        <v>#DIV/0!</v>
      </c>
    </row>
    <row r="78" spans="2:17" x14ac:dyDescent="0.25">
      <c r="B78" s="3" t="s">
        <v>46</v>
      </c>
      <c r="C78" s="3" t="s">
        <v>30</v>
      </c>
      <c r="D78" s="2" t="e">
        <f>D77+D$72</f>
        <v>#DIV/0!</v>
      </c>
      <c r="E78" s="2" t="e">
        <f>E77+E$72</f>
        <v>#DIV/0!</v>
      </c>
      <c r="F78" s="2" t="e">
        <f t="shared" ref="F78:Q78" si="39">F77+F$72</f>
        <v>#DIV/0!</v>
      </c>
      <c r="G78" s="2" t="e">
        <f t="shared" si="39"/>
        <v>#DIV/0!</v>
      </c>
      <c r="H78" s="2" t="e">
        <f t="shared" si="39"/>
        <v>#DIV/0!</v>
      </c>
      <c r="I78" s="2" t="e">
        <f t="shared" si="39"/>
        <v>#DIV/0!</v>
      </c>
      <c r="J78" s="2" t="e">
        <f t="shared" si="39"/>
        <v>#DIV/0!</v>
      </c>
      <c r="K78" s="2" t="e">
        <f t="shared" si="39"/>
        <v>#DIV/0!</v>
      </c>
      <c r="L78" s="2" t="e">
        <f t="shared" si="39"/>
        <v>#DIV/0!</v>
      </c>
      <c r="M78" s="2" t="e">
        <f t="shared" si="39"/>
        <v>#DIV/0!</v>
      </c>
      <c r="N78" s="2" t="e">
        <f t="shared" si="39"/>
        <v>#DIV/0!</v>
      </c>
      <c r="O78" s="2" t="e">
        <f t="shared" si="39"/>
        <v>#DIV/0!</v>
      </c>
      <c r="P78" s="2" t="e">
        <f t="shared" si="39"/>
        <v>#DIV/0!</v>
      </c>
      <c r="Q78" s="2" t="e">
        <f t="shared" si="39"/>
        <v>#DIV/0!</v>
      </c>
    </row>
    <row r="79" spans="2:17" x14ac:dyDescent="0.25">
      <c r="B79" s="3" t="s">
        <v>46</v>
      </c>
      <c r="C79" s="3" t="s">
        <v>43</v>
      </c>
      <c r="D79" s="2" t="e">
        <f t="shared" ref="D79:Q79" si="40">D78*EXP(-D$18/($D$13*0.7)*12)</f>
        <v>#DIV/0!</v>
      </c>
      <c r="E79" s="2" t="e">
        <f t="shared" si="40"/>
        <v>#DIV/0!</v>
      </c>
      <c r="F79" s="2" t="e">
        <f t="shared" si="40"/>
        <v>#DIV/0!</v>
      </c>
      <c r="G79" s="2" t="e">
        <f t="shared" si="40"/>
        <v>#DIV/0!</v>
      </c>
      <c r="H79" s="2" t="e">
        <f t="shared" si="40"/>
        <v>#DIV/0!</v>
      </c>
      <c r="I79" s="2" t="e">
        <f t="shared" si="40"/>
        <v>#DIV/0!</v>
      </c>
      <c r="J79" s="2" t="e">
        <f t="shared" si="40"/>
        <v>#DIV/0!</v>
      </c>
      <c r="K79" s="2" t="e">
        <f t="shared" si="40"/>
        <v>#DIV/0!</v>
      </c>
      <c r="L79" s="2" t="e">
        <f t="shared" si="40"/>
        <v>#DIV/0!</v>
      </c>
      <c r="M79" s="2" t="e">
        <f t="shared" si="40"/>
        <v>#DIV/0!</v>
      </c>
      <c r="N79" s="2" t="e">
        <f t="shared" si="40"/>
        <v>#DIV/0!</v>
      </c>
      <c r="O79" s="2" t="e">
        <f t="shared" si="40"/>
        <v>#DIV/0!</v>
      </c>
      <c r="P79" s="2" t="e">
        <f t="shared" si="40"/>
        <v>#DIV/0!</v>
      </c>
      <c r="Q79" s="2" t="e">
        <f t="shared" si="40"/>
        <v>#DIV/0!</v>
      </c>
    </row>
    <row r="80" spans="2:17" x14ac:dyDescent="0.25">
      <c r="B80" s="3" t="s">
        <v>48</v>
      </c>
      <c r="C80" s="3" t="s">
        <v>47</v>
      </c>
      <c r="D80" s="2" t="e">
        <f t="shared" ref="D80:Q80" si="41">D78*EXP(-D$18/(0.7*$D$13)*$C$71)</f>
        <v>#DIV/0!</v>
      </c>
      <c r="E80" s="2" t="e">
        <f t="shared" si="41"/>
        <v>#DIV/0!</v>
      </c>
      <c r="F80" s="2" t="e">
        <f t="shared" si="41"/>
        <v>#DIV/0!</v>
      </c>
      <c r="G80" s="2" t="e">
        <f t="shared" si="41"/>
        <v>#DIV/0!</v>
      </c>
      <c r="H80" s="2" t="e">
        <f t="shared" si="41"/>
        <v>#DIV/0!</v>
      </c>
      <c r="I80" s="2" t="e">
        <f t="shared" si="41"/>
        <v>#DIV/0!</v>
      </c>
      <c r="J80" s="2" t="e">
        <f t="shared" si="41"/>
        <v>#DIV/0!</v>
      </c>
      <c r="K80" s="2" t="e">
        <f t="shared" si="41"/>
        <v>#DIV/0!</v>
      </c>
      <c r="L80" s="2" t="e">
        <f t="shared" si="41"/>
        <v>#DIV/0!</v>
      </c>
      <c r="M80" s="2" t="e">
        <f t="shared" si="41"/>
        <v>#DIV/0!</v>
      </c>
      <c r="N80" s="2" t="e">
        <f t="shared" si="41"/>
        <v>#DIV/0!</v>
      </c>
      <c r="O80" s="2" t="e">
        <f t="shared" si="41"/>
        <v>#DIV/0!</v>
      </c>
      <c r="P80" s="2" t="e">
        <f t="shared" si="41"/>
        <v>#DIV/0!</v>
      </c>
      <c r="Q80" s="2" t="e">
        <f t="shared" si="41"/>
        <v>#DIV/0!</v>
      </c>
    </row>
    <row r="81" spans="2:17" x14ac:dyDescent="0.25">
      <c r="B81" s="3" t="s">
        <v>48</v>
      </c>
      <c r="C81" s="3" t="s">
        <v>30</v>
      </c>
      <c r="D81" s="2" t="e">
        <f>D80+D$72</f>
        <v>#DIV/0!</v>
      </c>
      <c r="E81" s="2" t="e">
        <f>E80+E$72</f>
        <v>#DIV/0!</v>
      </c>
      <c r="F81" s="2" t="e">
        <f t="shared" ref="F81:Q81" si="42">F80+F$72</f>
        <v>#DIV/0!</v>
      </c>
      <c r="G81" s="2" t="e">
        <f t="shared" si="42"/>
        <v>#DIV/0!</v>
      </c>
      <c r="H81" s="2" t="e">
        <f t="shared" si="42"/>
        <v>#DIV/0!</v>
      </c>
      <c r="I81" s="2" t="e">
        <f t="shared" si="42"/>
        <v>#DIV/0!</v>
      </c>
      <c r="J81" s="2" t="e">
        <f t="shared" si="42"/>
        <v>#DIV/0!</v>
      </c>
      <c r="K81" s="2" t="e">
        <f t="shared" si="42"/>
        <v>#DIV/0!</v>
      </c>
      <c r="L81" s="2" t="e">
        <f t="shared" si="42"/>
        <v>#DIV/0!</v>
      </c>
      <c r="M81" s="2" t="e">
        <f t="shared" si="42"/>
        <v>#DIV/0!</v>
      </c>
      <c r="N81" s="2" t="e">
        <f t="shared" si="42"/>
        <v>#DIV/0!</v>
      </c>
      <c r="O81" s="2" t="e">
        <f t="shared" si="42"/>
        <v>#DIV/0!</v>
      </c>
      <c r="P81" s="2" t="e">
        <f t="shared" si="42"/>
        <v>#DIV/0!</v>
      </c>
      <c r="Q81" s="2" t="e">
        <f t="shared" si="42"/>
        <v>#DIV/0!</v>
      </c>
    </row>
    <row r="82" spans="2:17" x14ac:dyDescent="0.25">
      <c r="B82" s="3" t="s">
        <v>48</v>
      </c>
      <c r="C82" s="3" t="s">
        <v>43</v>
      </c>
      <c r="D82" s="2" t="e">
        <f t="shared" ref="D82:Q82" si="43">D81*EXP(-D$18/($D$13*0.7)*12)</f>
        <v>#DIV/0!</v>
      </c>
      <c r="E82" s="2" t="e">
        <f t="shared" si="43"/>
        <v>#DIV/0!</v>
      </c>
      <c r="F82" s="2" t="e">
        <f t="shared" si="43"/>
        <v>#DIV/0!</v>
      </c>
      <c r="G82" s="2" t="e">
        <f t="shared" si="43"/>
        <v>#DIV/0!</v>
      </c>
      <c r="H82" s="2" t="e">
        <f t="shared" si="43"/>
        <v>#DIV/0!</v>
      </c>
      <c r="I82" s="2" t="e">
        <f t="shared" si="43"/>
        <v>#DIV/0!</v>
      </c>
      <c r="J82" s="2" t="e">
        <f t="shared" si="43"/>
        <v>#DIV/0!</v>
      </c>
      <c r="K82" s="2" t="e">
        <f t="shared" si="43"/>
        <v>#DIV/0!</v>
      </c>
      <c r="L82" s="2" t="e">
        <f t="shared" si="43"/>
        <v>#DIV/0!</v>
      </c>
      <c r="M82" s="2" t="e">
        <f t="shared" si="43"/>
        <v>#DIV/0!</v>
      </c>
      <c r="N82" s="2" t="e">
        <f t="shared" si="43"/>
        <v>#DIV/0!</v>
      </c>
      <c r="O82" s="2" t="e">
        <f t="shared" si="43"/>
        <v>#DIV/0!</v>
      </c>
      <c r="P82" s="2" t="e">
        <f t="shared" si="43"/>
        <v>#DIV/0!</v>
      </c>
      <c r="Q82" s="2" t="e">
        <f t="shared" si="43"/>
        <v>#DIV/0!</v>
      </c>
    </row>
    <row r="83" spans="2:17" x14ac:dyDescent="0.25">
      <c r="B83" s="3" t="s">
        <v>49</v>
      </c>
      <c r="C83" s="3" t="s">
        <v>47</v>
      </c>
      <c r="D83" s="2" t="e">
        <f t="shared" ref="D83:Q83" si="44">D81*EXP(-D$18/(0.7*$D$13)*$C$71)</f>
        <v>#DIV/0!</v>
      </c>
      <c r="E83" s="2" t="e">
        <f t="shared" si="44"/>
        <v>#DIV/0!</v>
      </c>
      <c r="F83" s="2" t="e">
        <f t="shared" si="44"/>
        <v>#DIV/0!</v>
      </c>
      <c r="G83" s="2" t="e">
        <f t="shared" si="44"/>
        <v>#DIV/0!</v>
      </c>
      <c r="H83" s="2" t="e">
        <f t="shared" si="44"/>
        <v>#DIV/0!</v>
      </c>
      <c r="I83" s="2" t="e">
        <f t="shared" si="44"/>
        <v>#DIV/0!</v>
      </c>
      <c r="J83" s="2" t="e">
        <f t="shared" si="44"/>
        <v>#DIV/0!</v>
      </c>
      <c r="K83" s="2" t="e">
        <f t="shared" si="44"/>
        <v>#DIV/0!</v>
      </c>
      <c r="L83" s="2" t="e">
        <f t="shared" si="44"/>
        <v>#DIV/0!</v>
      </c>
      <c r="M83" s="2" t="e">
        <f t="shared" si="44"/>
        <v>#DIV/0!</v>
      </c>
      <c r="N83" s="2" t="e">
        <f t="shared" si="44"/>
        <v>#DIV/0!</v>
      </c>
      <c r="O83" s="2" t="e">
        <f t="shared" si="44"/>
        <v>#DIV/0!</v>
      </c>
      <c r="P83" s="2" t="e">
        <f t="shared" si="44"/>
        <v>#DIV/0!</v>
      </c>
      <c r="Q83" s="2" t="e">
        <f t="shared" si="44"/>
        <v>#DIV/0!</v>
      </c>
    </row>
    <row r="84" spans="2:17" x14ac:dyDescent="0.25">
      <c r="B84" s="3" t="s">
        <v>49</v>
      </c>
      <c r="C84" s="3" t="s">
        <v>30</v>
      </c>
      <c r="D84" s="2" t="e">
        <f>D83+D$72</f>
        <v>#DIV/0!</v>
      </c>
      <c r="E84" s="2" t="e">
        <f>E83+E$72</f>
        <v>#DIV/0!</v>
      </c>
      <c r="F84" s="2" t="e">
        <f t="shared" ref="F84:Q84" si="45">F83+F$72</f>
        <v>#DIV/0!</v>
      </c>
      <c r="G84" s="2" t="e">
        <f t="shared" si="45"/>
        <v>#DIV/0!</v>
      </c>
      <c r="H84" s="2" t="e">
        <f t="shared" si="45"/>
        <v>#DIV/0!</v>
      </c>
      <c r="I84" s="2" t="e">
        <f t="shared" si="45"/>
        <v>#DIV/0!</v>
      </c>
      <c r="J84" s="2" t="e">
        <f t="shared" si="45"/>
        <v>#DIV/0!</v>
      </c>
      <c r="K84" s="2" t="e">
        <f t="shared" si="45"/>
        <v>#DIV/0!</v>
      </c>
      <c r="L84" s="2" t="e">
        <f t="shared" si="45"/>
        <v>#DIV/0!</v>
      </c>
      <c r="M84" s="2" t="e">
        <f t="shared" si="45"/>
        <v>#DIV/0!</v>
      </c>
      <c r="N84" s="2" t="e">
        <f t="shared" si="45"/>
        <v>#DIV/0!</v>
      </c>
      <c r="O84" s="2" t="e">
        <f t="shared" si="45"/>
        <v>#DIV/0!</v>
      </c>
      <c r="P84" s="2" t="e">
        <f t="shared" si="45"/>
        <v>#DIV/0!</v>
      </c>
      <c r="Q84" s="2" t="e">
        <f t="shared" si="45"/>
        <v>#DIV/0!</v>
      </c>
    </row>
    <row r="85" spans="2:17" x14ac:dyDescent="0.25">
      <c r="B85" s="3" t="s">
        <v>49</v>
      </c>
      <c r="C85" s="3" t="s">
        <v>43</v>
      </c>
      <c r="D85" s="2" t="e">
        <f t="shared" ref="D85:Q85" si="46">D84*EXP(-D$18/($D$13*0.7)*12)</f>
        <v>#DIV/0!</v>
      </c>
      <c r="E85" s="2" t="e">
        <f t="shared" si="46"/>
        <v>#DIV/0!</v>
      </c>
      <c r="F85" s="2" t="e">
        <f t="shared" si="46"/>
        <v>#DIV/0!</v>
      </c>
      <c r="G85" s="2" t="e">
        <f t="shared" si="46"/>
        <v>#DIV/0!</v>
      </c>
      <c r="H85" s="2" t="e">
        <f t="shared" si="46"/>
        <v>#DIV/0!</v>
      </c>
      <c r="I85" s="2" t="e">
        <f t="shared" si="46"/>
        <v>#DIV/0!</v>
      </c>
      <c r="J85" s="2" t="e">
        <f t="shared" si="46"/>
        <v>#DIV/0!</v>
      </c>
      <c r="K85" s="2" t="e">
        <f t="shared" si="46"/>
        <v>#DIV/0!</v>
      </c>
      <c r="L85" s="2" t="e">
        <f t="shared" si="46"/>
        <v>#DIV/0!</v>
      </c>
      <c r="M85" s="2" t="e">
        <f t="shared" si="46"/>
        <v>#DIV/0!</v>
      </c>
      <c r="N85" s="2" t="e">
        <f t="shared" si="46"/>
        <v>#DIV/0!</v>
      </c>
      <c r="O85" s="2" t="e">
        <f t="shared" si="46"/>
        <v>#DIV/0!</v>
      </c>
      <c r="P85" s="2" t="e">
        <f t="shared" si="46"/>
        <v>#DIV/0!</v>
      </c>
      <c r="Q85" s="2" t="e">
        <f t="shared" si="46"/>
        <v>#DIV/0!</v>
      </c>
    </row>
    <row r="86" spans="2:17" x14ac:dyDescent="0.25">
      <c r="B86" s="3" t="s">
        <v>50</v>
      </c>
      <c r="C86" s="3" t="s">
        <v>47</v>
      </c>
      <c r="D86" s="2" t="e">
        <f t="shared" ref="D86:Q86" si="47">D84*EXP(-D$18/(0.7*$D$13)*$C$71)</f>
        <v>#DIV/0!</v>
      </c>
      <c r="E86" s="2" t="e">
        <f t="shared" si="47"/>
        <v>#DIV/0!</v>
      </c>
      <c r="F86" s="2" t="e">
        <f t="shared" si="47"/>
        <v>#DIV/0!</v>
      </c>
      <c r="G86" s="2" t="e">
        <f t="shared" si="47"/>
        <v>#DIV/0!</v>
      </c>
      <c r="H86" s="2" t="e">
        <f t="shared" si="47"/>
        <v>#DIV/0!</v>
      </c>
      <c r="I86" s="2" t="e">
        <f t="shared" si="47"/>
        <v>#DIV/0!</v>
      </c>
      <c r="J86" s="2" t="e">
        <f t="shared" si="47"/>
        <v>#DIV/0!</v>
      </c>
      <c r="K86" s="2" t="e">
        <f t="shared" si="47"/>
        <v>#DIV/0!</v>
      </c>
      <c r="L86" s="2" t="e">
        <f t="shared" si="47"/>
        <v>#DIV/0!</v>
      </c>
      <c r="M86" s="2" t="e">
        <f t="shared" si="47"/>
        <v>#DIV/0!</v>
      </c>
      <c r="N86" s="2" t="e">
        <f t="shared" si="47"/>
        <v>#DIV/0!</v>
      </c>
      <c r="O86" s="2" t="e">
        <f t="shared" si="47"/>
        <v>#DIV/0!</v>
      </c>
      <c r="P86" s="2" t="e">
        <f t="shared" si="47"/>
        <v>#DIV/0!</v>
      </c>
      <c r="Q86" s="2" t="e">
        <f t="shared" si="47"/>
        <v>#DIV/0!</v>
      </c>
    </row>
    <row r="87" spans="2:17" x14ac:dyDescent="0.25">
      <c r="B87" s="3" t="s">
        <v>50</v>
      </c>
      <c r="C87" s="3" t="s">
        <v>30</v>
      </c>
      <c r="D87" s="2" t="e">
        <f>D86+D$72</f>
        <v>#DIV/0!</v>
      </c>
      <c r="E87" s="2" t="e">
        <f>E86+E$72</f>
        <v>#DIV/0!</v>
      </c>
      <c r="F87" s="2" t="e">
        <f t="shared" ref="F87:Q87" si="48">F86+F$72</f>
        <v>#DIV/0!</v>
      </c>
      <c r="G87" s="2" t="e">
        <f t="shared" si="48"/>
        <v>#DIV/0!</v>
      </c>
      <c r="H87" s="2" t="e">
        <f t="shared" si="48"/>
        <v>#DIV/0!</v>
      </c>
      <c r="I87" s="2" t="e">
        <f t="shared" si="48"/>
        <v>#DIV/0!</v>
      </c>
      <c r="J87" s="2" t="e">
        <f t="shared" si="48"/>
        <v>#DIV/0!</v>
      </c>
      <c r="K87" s="2" t="e">
        <f t="shared" si="48"/>
        <v>#DIV/0!</v>
      </c>
      <c r="L87" s="2" t="e">
        <f t="shared" si="48"/>
        <v>#DIV/0!</v>
      </c>
      <c r="M87" s="2" t="e">
        <f t="shared" si="48"/>
        <v>#DIV/0!</v>
      </c>
      <c r="N87" s="2" t="e">
        <f t="shared" si="48"/>
        <v>#DIV/0!</v>
      </c>
      <c r="O87" s="2" t="e">
        <f t="shared" si="48"/>
        <v>#DIV/0!</v>
      </c>
      <c r="P87" s="2" t="e">
        <f t="shared" si="48"/>
        <v>#DIV/0!</v>
      </c>
      <c r="Q87" s="2" t="e">
        <f t="shared" si="48"/>
        <v>#DIV/0!</v>
      </c>
    </row>
    <row r="88" spans="2:17" x14ac:dyDescent="0.25">
      <c r="B88" s="3" t="s">
        <v>50</v>
      </c>
      <c r="C88" s="3" t="s">
        <v>43</v>
      </c>
      <c r="D88" s="2" t="e">
        <f t="shared" ref="D88:Q88" si="49">D87*EXP(-D$18/($D$13*0.7)*12)</f>
        <v>#DIV/0!</v>
      </c>
      <c r="E88" s="2" t="e">
        <f t="shared" si="49"/>
        <v>#DIV/0!</v>
      </c>
      <c r="F88" s="2" t="e">
        <f t="shared" si="49"/>
        <v>#DIV/0!</v>
      </c>
      <c r="G88" s="2" t="e">
        <f t="shared" si="49"/>
        <v>#DIV/0!</v>
      </c>
      <c r="H88" s="2" t="e">
        <f t="shared" si="49"/>
        <v>#DIV/0!</v>
      </c>
      <c r="I88" s="2" t="e">
        <f t="shared" si="49"/>
        <v>#DIV/0!</v>
      </c>
      <c r="J88" s="2" t="e">
        <f t="shared" si="49"/>
        <v>#DIV/0!</v>
      </c>
      <c r="K88" s="2" t="e">
        <f t="shared" si="49"/>
        <v>#DIV/0!</v>
      </c>
      <c r="L88" s="2" t="e">
        <f t="shared" si="49"/>
        <v>#DIV/0!</v>
      </c>
      <c r="M88" s="2" t="e">
        <f t="shared" si="49"/>
        <v>#DIV/0!</v>
      </c>
      <c r="N88" s="2" t="e">
        <f t="shared" si="49"/>
        <v>#DIV/0!</v>
      </c>
      <c r="O88" s="2" t="e">
        <f t="shared" si="49"/>
        <v>#DIV/0!</v>
      </c>
      <c r="P88" s="2" t="e">
        <f t="shared" si="49"/>
        <v>#DIV/0!</v>
      </c>
      <c r="Q88" s="2" t="e">
        <f t="shared" si="49"/>
        <v>#DIV/0!</v>
      </c>
    </row>
    <row r="89" spans="2:17" x14ac:dyDescent="0.25">
      <c r="B89" s="3" t="s">
        <v>51</v>
      </c>
      <c r="C89" s="3" t="s">
        <v>47</v>
      </c>
      <c r="D89" s="2" t="e">
        <f t="shared" ref="D89:Q89" si="50">D87*EXP(-D$18/(0.7*$D$13)*$C$71)</f>
        <v>#DIV/0!</v>
      </c>
      <c r="E89" s="2" t="e">
        <f t="shared" si="50"/>
        <v>#DIV/0!</v>
      </c>
      <c r="F89" s="2" t="e">
        <f t="shared" si="50"/>
        <v>#DIV/0!</v>
      </c>
      <c r="G89" s="2" t="e">
        <f t="shared" si="50"/>
        <v>#DIV/0!</v>
      </c>
      <c r="H89" s="2" t="e">
        <f t="shared" si="50"/>
        <v>#DIV/0!</v>
      </c>
      <c r="I89" s="2" t="e">
        <f t="shared" si="50"/>
        <v>#DIV/0!</v>
      </c>
      <c r="J89" s="2" t="e">
        <f t="shared" si="50"/>
        <v>#DIV/0!</v>
      </c>
      <c r="K89" s="2" t="e">
        <f t="shared" si="50"/>
        <v>#DIV/0!</v>
      </c>
      <c r="L89" s="2" t="e">
        <f t="shared" si="50"/>
        <v>#DIV/0!</v>
      </c>
      <c r="M89" s="2" t="e">
        <f t="shared" si="50"/>
        <v>#DIV/0!</v>
      </c>
      <c r="N89" s="2" t="e">
        <f t="shared" si="50"/>
        <v>#DIV/0!</v>
      </c>
      <c r="O89" s="2" t="e">
        <f t="shared" si="50"/>
        <v>#DIV/0!</v>
      </c>
      <c r="P89" s="2" t="e">
        <f t="shared" si="50"/>
        <v>#DIV/0!</v>
      </c>
      <c r="Q89" s="2" t="e">
        <f t="shared" si="50"/>
        <v>#DIV/0!</v>
      </c>
    </row>
    <row r="90" spans="2:17" x14ac:dyDescent="0.25">
      <c r="B90" s="3" t="s">
        <v>51</v>
      </c>
      <c r="C90" s="3" t="s">
        <v>30</v>
      </c>
      <c r="D90" s="2" t="e">
        <f>D89+D$72</f>
        <v>#DIV/0!</v>
      </c>
      <c r="E90" s="2" t="e">
        <f>E89+E$72</f>
        <v>#DIV/0!</v>
      </c>
      <c r="F90" s="2" t="e">
        <f t="shared" ref="F90:Q90" si="51">F89+F$72</f>
        <v>#DIV/0!</v>
      </c>
      <c r="G90" s="2" t="e">
        <f t="shared" si="51"/>
        <v>#DIV/0!</v>
      </c>
      <c r="H90" s="2" t="e">
        <f t="shared" si="51"/>
        <v>#DIV/0!</v>
      </c>
      <c r="I90" s="2" t="e">
        <f t="shared" si="51"/>
        <v>#DIV/0!</v>
      </c>
      <c r="J90" s="2" t="e">
        <f t="shared" si="51"/>
        <v>#DIV/0!</v>
      </c>
      <c r="K90" s="2" t="e">
        <f t="shared" si="51"/>
        <v>#DIV/0!</v>
      </c>
      <c r="L90" s="2" t="e">
        <f t="shared" si="51"/>
        <v>#DIV/0!</v>
      </c>
      <c r="M90" s="2" t="e">
        <f t="shared" si="51"/>
        <v>#DIV/0!</v>
      </c>
      <c r="N90" s="2" t="e">
        <f t="shared" si="51"/>
        <v>#DIV/0!</v>
      </c>
      <c r="O90" s="2" t="e">
        <f t="shared" si="51"/>
        <v>#DIV/0!</v>
      </c>
      <c r="P90" s="2" t="e">
        <f t="shared" si="51"/>
        <v>#DIV/0!</v>
      </c>
      <c r="Q90" s="2" t="e">
        <f t="shared" si="51"/>
        <v>#DIV/0!</v>
      </c>
    </row>
    <row r="91" spans="2:17" x14ac:dyDescent="0.25">
      <c r="B91" s="3" t="s">
        <v>51</v>
      </c>
      <c r="C91" s="3" t="s">
        <v>43</v>
      </c>
      <c r="D91" s="2" t="e">
        <f t="shared" ref="D91:Q91" si="52">D90*EXP(-D$18/($D$13*0.7)*12)</f>
        <v>#DIV/0!</v>
      </c>
      <c r="E91" s="2" t="e">
        <f t="shared" si="52"/>
        <v>#DIV/0!</v>
      </c>
      <c r="F91" s="2" t="e">
        <f t="shared" si="52"/>
        <v>#DIV/0!</v>
      </c>
      <c r="G91" s="2" t="e">
        <f t="shared" si="52"/>
        <v>#DIV/0!</v>
      </c>
      <c r="H91" s="2" t="e">
        <f t="shared" si="52"/>
        <v>#DIV/0!</v>
      </c>
      <c r="I91" s="2" t="e">
        <f t="shared" si="52"/>
        <v>#DIV/0!</v>
      </c>
      <c r="J91" s="2" t="e">
        <f t="shared" si="52"/>
        <v>#DIV/0!</v>
      </c>
      <c r="K91" s="2" t="e">
        <f t="shared" si="52"/>
        <v>#DIV/0!</v>
      </c>
      <c r="L91" s="2" t="e">
        <f t="shared" si="52"/>
        <v>#DIV/0!</v>
      </c>
      <c r="M91" s="2" t="e">
        <f t="shared" si="52"/>
        <v>#DIV/0!</v>
      </c>
      <c r="N91" s="2" t="e">
        <f t="shared" si="52"/>
        <v>#DIV/0!</v>
      </c>
      <c r="O91" s="2" t="e">
        <f t="shared" si="52"/>
        <v>#DIV/0!</v>
      </c>
      <c r="P91" s="2" t="e">
        <f t="shared" si="52"/>
        <v>#DIV/0!</v>
      </c>
      <c r="Q91" s="2" t="e">
        <f t="shared" si="52"/>
        <v>#DIV/0!</v>
      </c>
    </row>
    <row r="92" spans="2:17" x14ac:dyDescent="0.25">
      <c r="B92" s="3" t="s">
        <v>52</v>
      </c>
      <c r="C92" s="3" t="s">
        <v>47</v>
      </c>
      <c r="D92" s="2" t="e">
        <f t="shared" ref="D92:Q92" si="53">D90*EXP(-D$18/(0.7*$D$13)*$C$71)</f>
        <v>#DIV/0!</v>
      </c>
      <c r="E92" s="2" t="e">
        <f t="shared" si="53"/>
        <v>#DIV/0!</v>
      </c>
      <c r="F92" s="2" t="e">
        <f t="shared" si="53"/>
        <v>#DIV/0!</v>
      </c>
      <c r="G92" s="2" t="e">
        <f t="shared" si="53"/>
        <v>#DIV/0!</v>
      </c>
      <c r="H92" s="2" t="e">
        <f t="shared" si="53"/>
        <v>#DIV/0!</v>
      </c>
      <c r="I92" s="2" t="e">
        <f t="shared" si="53"/>
        <v>#DIV/0!</v>
      </c>
      <c r="J92" s="2" t="e">
        <f t="shared" si="53"/>
        <v>#DIV/0!</v>
      </c>
      <c r="K92" s="2" t="e">
        <f t="shared" si="53"/>
        <v>#DIV/0!</v>
      </c>
      <c r="L92" s="2" t="e">
        <f t="shared" si="53"/>
        <v>#DIV/0!</v>
      </c>
      <c r="M92" s="2" t="e">
        <f t="shared" si="53"/>
        <v>#DIV/0!</v>
      </c>
      <c r="N92" s="2" t="e">
        <f t="shared" si="53"/>
        <v>#DIV/0!</v>
      </c>
      <c r="O92" s="2" t="e">
        <f t="shared" si="53"/>
        <v>#DIV/0!</v>
      </c>
      <c r="P92" s="2" t="e">
        <f t="shared" si="53"/>
        <v>#DIV/0!</v>
      </c>
      <c r="Q92" s="2" t="e">
        <f t="shared" si="53"/>
        <v>#DIV/0!</v>
      </c>
    </row>
    <row r="93" spans="2:17" x14ac:dyDescent="0.25">
      <c r="B93" s="3" t="s">
        <v>52</v>
      </c>
      <c r="C93" s="3" t="s">
        <v>30</v>
      </c>
      <c r="D93" s="2" t="e">
        <f>D92+D$72</f>
        <v>#DIV/0!</v>
      </c>
      <c r="E93" s="2" t="e">
        <f>E92+E$72</f>
        <v>#DIV/0!</v>
      </c>
      <c r="F93" s="2" t="e">
        <f t="shared" ref="F93:Q93" si="54">F92+F$72</f>
        <v>#DIV/0!</v>
      </c>
      <c r="G93" s="2" t="e">
        <f t="shared" si="54"/>
        <v>#DIV/0!</v>
      </c>
      <c r="H93" s="2" t="e">
        <f t="shared" si="54"/>
        <v>#DIV/0!</v>
      </c>
      <c r="I93" s="2" t="e">
        <f t="shared" si="54"/>
        <v>#DIV/0!</v>
      </c>
      <c r="J93" s="2" t="e">
        <f t="shared" si="54"/>
        <v>#DIV/0!</v>
      </c>
      <c r="K93" s="2" t="e">
        <f t="shared" si="54"/>
        <v>#DIV/0!</v>
      </c>
      <c r="L93" s="2" t="e">
        <f t="shared" si="54"/>
        <v>#DIV/0!</v>
      </c>
      <c r="M93" s="2" t="e">
        <f t="shared" si="54"/>
        <v>#DIV/0!</v>
      </c>
      <c r="N93" s="2" t="e">
        <f t="shared" si="54"/>
        <v>#DIV/0!</v>
      </c>
      <c r="O93" s="2" t="e">
        <f t="shared" si="54"/>
        <v>#DIV/0!</v>
      </c>
      <c r="P93" s="2" t="e">
        <f t="shared" si="54"/>
        <v>#DIV/0!</v>
      </c>
      <c r="Q93" s="2" t="e">
        <f t="shared" si="54"/>
        <v>#DIV/0!</v>
      </c>
    </row>
    <row r="94" spans="2:17" x14ac:dyDescent="0.25">
      <c r="B94" s="3" t="s">
        <v>52</v>
      </c>
      <c r="C94" s="3" t="s">
        <v>43</v>
      </c>
      <c r="D94" s="2" t="e">
        <f t="shared" ref="D94:Q94" si="55">D93*EXP(-D$18/($D$13*0.7)*12)</f>
        <v>#DIV/0!</v>
      </c>
      <c r="E94" s="2" t="e">
        <f t="shared" si="55"/>
        <v>#DIV/0!</v>
      </c>
      <c r="F94" s="2" t="e">
        <f t="shared" si="55"/>
        <v>#DIV/0!</v>
      </c>
      <c r="G94" s="2" t="e">
        <f t="shared" si="55"/>
        <v>#DIV/0!</v>
      </c>
      <c r="H94" s="2" t="e">
        <f t="shared" si="55"/>
        <v>#DIV/0!</v>
      </c>
      <c r="I94" s="2" t="e">
        <f t="shared" si="55"/>
        <v>#DIV/0!</v>
      </c>
      <c r="J94" s="2" t="e">
        <f t="shared" si="55"/>
        <v>#DIV/0!</v>
      </c>
      <c r="K94" s="2" t="e">
        <f t="shared" si="55"/>
        <v>#DIV/0!</v>
      </c>
      <c r="L94" s="2" t="e">
        <f t="shared" si="55"/>
        <v>#DIV/0!</v>
      </c>
      <c r="M94" s="2" t="e">
        <f t="shared" si="55"/>
        <v>#DIV/0!</v>
      </c>
      <c r="N94" s="2" t="e">
        <f t="shared" si="55"/>
        <v>#DIV/0!</v>
      </c>
      <c r="O94" s="2" t="e">
        <f t="shared" si="55"/>
        <v>#DIV/0!</v>
      </c>
      <c r="P94" s="2" t="e">
        <f t="shared" si="55"/>
        <v>#DIV/0!</v>
      </c>
      <c r="Q94" s="2" t="e">
        <f t="shared" si="55"/>
        <v>#DIV/0!</v>
      </c>
    </row>
    <row r="95" spans="2:17" x14ac:dyDescent="0.25">
      <c r="B95" s="3" t="s">
        <v>53</v>
      </c>
      <c r="C95" s="3" t="s">
        <v>47</v>
      </c>
      <c r="D95" s="2" t="e">
        <f t="shared" ref="D95:Q95" si="56">D93*EXP(-D$18/(0.7*$D$13)*$C$71)</f>
        <v>#DIV/0!</v>
      </c>
      <c r="E95" s="2" t="e">
        <f t="shared" si="56"/>
        <v>#DIV/0!</v>
      </c>
      <c r="F95" s="2" t="e">
        <f t="shared" si="56"/>
        <v>#DIV/0!</v>
      </c>
      <c r="G95" s="2" t="e">
        <f t="shared" si="56"/>
        <v>#DIV/0!</v>
      </c>
      <c r="H95" s="2" t="e">
        <f t="shared" si="56"/>
        <v>#DIV/0!</v>
      </c>
      <c r="I95" s="2" t="e">
        <f t="shared" si="56"/>
        <v>#DIV/0!</v>
      </c>
      <c r="J95" s="2" t="e">
        <f t="shared" si="56"/>
        <v>#DIV/0!</v>
      </c>
      <c r="K95" s="2" t="e">
        <f t="shared" si="56"/>
        <v>#DIV/0!</v>
      </c>
      <c r="L95" s="2" t="e">
        <f t="shared" si="56"/>
        <v>#DIV/0!</v>
      </c>
      <c r="M95" s="2" t="e">
        <f t="shared" si="56"/>
        <v>#DIV/0!</v>
      </c>
      <c r="N95" s="2" t="e">
        <f t="shared" si="56"/>
        <v>#DIV/0!</v>
      </c>
      <c r="O95" s="2" t="e">
        <f t="shared" si="56"/>
        <v>#DIV/0!</v>
      </c>
      <c r="P95" s="2" t="e">
        <f t="shared" si="56"/>
        <v>#DIV/0!</v>
      </c>
      <c r="Q95" s="2" t="e">
        <f t="shared" si="56"/>
        <v>#DIV/0!</v>
      </c>
    </row>
    <row r="96" spans="2:17" x14ac:dyDescent="0.25">
      <c r="B96" s="3" t="s">
        <v>53</v>
      </c>
      <c r="C96" s="3" t="s">
        <v>30</v>
      </c>
      <c r="D96" s="2" t="e">
        <f>D95+D$72</f>
        <v>#DIV/0!</v>
      </c>
      <c r="E96" s="2" t="e">
        <f>E95+E$72</f>
        <v>#DIV/0!</v>
      </c>
      <c r="F96" s="2" t="e">
        <f t="shared" ref="F96:Q96" si="57">F95+F$72</f>
        <v>#DIV/0!</v>
      </c>
      <c r="G96" s="2" t="e">
        <f t="shared" si="57"/>
        <v>#DIV/0!</v>
      </c>
      <c r="H96" s="2" t="e">
        <f t="shared" si="57"/>
        <v>#DIV/0!</v>
      </c>
      <c r="I96" s="2" t="e">
        <f t="shared" si="57"/>
        <v>#DIV/0!</v>
      </c>
      <c r="J96" s="2" t="e">
        <f t="shared" si="57"/>
        <v>#DIV/0!</v>
      </c>
      <c r="K96" s="2" t="e">
        <f t="shared" si="57"/>
        <v>#DIV/0!</v>
      </c>
      <c r="L96" s="2" t="e">
        <f t="shared" si="57"/>
        <v>#DIV/0!</v>
      </c>
      <c r="M96" s="2" t="e">
        <f t="shared" si="57"/>
        <v>#DIV/0!</v>
      </c>
      <c r="N96" s="2" t="e">
        <f t="shared" si="57"/>
        <v>#DIV/0!</v>
      </c>
      <c r="O96" s="2" t="e">
        <f t="shared" si="57"/>
        <v>#DIV/0!</v>
      </c>
      <c r="P96" s="2" t="e">
        <f t="shared" si="57"/>
        <v>#DIV/0!</v>
      </c>
      <c r="Q96" s="2" t="e">
        <f t="shared" si="57"/>
        <v>#DIV/0!</v>
      </c>
    </row>
    <row r="97" spans="2:17" x14ac:dyDescent="0.25">
      <c r="B97" s="3" t="s">
        <v>53</v>
      </c>
      <c r="C97" s="3" t="s">
        <v>43</v>
      </c>
      <c r="D97" s="2" t="e">
        <f t="shared" ref="D97:Q97" si="58">D96*EXP(-D$18/($D$13*0.7)*12)</f>
        <v>#DIV/0!</v>
      </c>
      <c r="E97" s="2" t="e">
        <f t="shared" si="58"/>
        <v>#DIV/0!</v>
      </c>
      <c r="F97" s="2" t="e">
        <f t="shared" si="58"/>
        <v>#DIV/0!</v>
      </c>
      <c r="G97" s="2" t="e">
        <f t="shared" si="58"/>
        <v>#DIV/0!</v>
      </c>
      <c r="H97" s="2" t="e">
        <f t="shared" si="58"/>
        <v>#DIV/0!</v>
      </c>
      <c r="I97" s="2" t="e">
        <f t="shared" si="58"/>
        <v>#DIV/0!</v>
      </c>
      <c r="J97" s="2" t="e">
        <f t="shared" si="58"/>
        <v>#DIV/0!</v>
      </c>
      <c r="K97" s="2" t="e">
        <f t="shared" si="58"/>
        <v>#DIV/0!</v>
      </c>
      <c r="L97" s="2" t="e">
        <f t="shared" si="58"/>
        <v>#DIV/0!</v>
      </c>
      <c r="M97" s="2" t="e">
        <f t="shared" si="58"/>
        <v>#DIV/0!</v>
      </c>
      <c r="N97" s="2" t="e">
        <f t="shared" si="58"/>
        <v>#DIV/0!</v>
      </c>
      <c r="O97" s="2" t="e">
        <f t="shared" si="58"/>
        <v>#DIV/0!</v>
      </c>
      <c r="P97" s="2" t="e">
        <f t="shared" si="58"/>
        <v>#DIV/0!</v>
      </c>
      <c r="Q97" s="2" t="e">
        <f t="shared" si="58"/>
        <v>#DIV/0!</v>
      </c>
    </row>
    <row r="98" spans="2:17" x14ac:dyDescent="0.25">
      <c r="B98" s="3" t="s">
        <v>54</v>
      </c>
      <c r="C98" s="3" t="s">
        <v>47</v>
      </c>
      <c r="D98" s="2" t="e">
        <f t="shared" ref="D98:Q98" si="59">D96*EXP(-D$18/(0.7*$D$13)*$C$71)</f>
        <v>#DIV/0!</v>
      </c>
      <c r="E98" s="2" t="e">
        <f t="shared" si="59"/>
        <v>#DIV/0!</v>
      </c>
      <c r="F98" s="2" t="e">
        <f t="shared" si="59"/>
        <v>#DIV/0!</v>
      </c>
      <c r="G98" s="2" t="e">
        <f t="shared" si="59"/>
        <v>#DIV/0!</v>
      </c>
      <c r="H98" s="2" t="e">
        <f t="shared" si="59"/>
        <v>#DIV/0!</v>
      </c>
      <c r="I98" s="2" t="e">
        <f t="shared" si="59"/>
        <v>#DIV/0!</v>
      </c>
      <c r="J98" s="2" t="e">
        <f t="shared" si="59"/>
        <v>#DIV/0!</v>
      </c>
      <c r="K98" s="2" t="e">
        <f t="shared" si="59"/>
        <v>#DIV/0!</v>
      </c>
      <c r="L98" s="2" t="e">
        <f t="shared" si="59"/>
        <v>#DIV/0!</v>
      </c>
      <c r="M98" s="2" t="e">
        <f t="shared" si="59"/>
        <v>#DIV/0!</v>
      </c>
      <c r="N98" s="2" t="e">
        <f t="shared" si="59"/>
        <v>#DIV/0!</v>
      </c>
      <c r="O98" s="2" t="e">
        <f t="shared" si="59"/>
        <v>#DIV/0!</v>
      </c>
      <c r="P98" s="2" t="e">
        <f t="shared" si="59"/>
        <v>#DIV/0!</v>
      </c>
      <c r="Q98" s="2" t="e">
        <f t="shared" si="59"/>
        <v>#DIV/0!</v>
      </c>
    </row>
    <row r="99" spans="2:17" x14ac:dyDescent="0.25">
      <c r="B99" s="3" t="s">
        <v>54</v>
      </c>
      <c r="C99" s="3" t="s">
        <v>30</v>
      </c>
      <c r="D99" s="2" t="e">
        <f>D98+D$72</f>
        <v>#DIV/0!</v>
      </c>
      <c r="E99" s="2" t="e">
        <f>E98+E$72</f>
        <v>#DIV/0!</v>
      </c>
      <c r="F99" s="2" t="e">
        <f t="shared" ref="F99:Q99" si="60">F98+F$72</f>
        <v>#DIV/0!</v>
      </c>
      <c r="G99" s="2" t="e">
        <f t="shared" si="60"/>
        <v>#DIV/0!</v>
      </c>
      <c r="H99" s="2" t="e">
        <f t="shared" si="60"/>
        <v>#DIV/0!</v>
      </c>
      <c r="I99" s="2" t="e">
        <f t="shared" si="60"/>
        <v>#DIV/0!</v>
      </c>
      <c r="J99" s="2" t="e">
        <f t="shared" si="60"/>
        <v>#DIV/0!</v>
      </c>
      <c r="K99" s="2" t="e">
        <f t="shared" si="60"/>
        <v>#DIV/0!</v>
      </c>
      <c r="L99" s="2" t="e">
        <f t="shared" si="60"/>
        <v>#DIV/0!</v>
      </c>
      <c r="M99" s="2" t="e">
        <f t="shared" si="60"/>
        <v>#DIV/0!</v>
      </c>
      <c r="N99" s="2" t="e">
        <f t="shared" si="60"/>
        <v>#DIV/0!</v>
      </c>
      <c r="O99" s="2" t="e">
        <f t="shared" si="60"/>
        <v>#DIV/0!</v>
      </c>
      <c r="P99" s="2" t="e">
        <f t="shared" si="60"/>
        <v>#DIV/0!</v>
      </c>
      <c r="Q99" s="2" t="e">
        <f t="shared" si="60"/>
        <v>#DIV/0!</v>
      </c>
    </row>
    <row r="100" spans="2:17" x14ac:dyDescent="0.25">
      <c r="B100" s="3" t="s">
        <v>54</v>
      </c>
      <c r="C100" s="3" t="s">
        <v>43</v>
      </c>
      <c r="D100" s="2" t="e">
        <f t="shared" ref="D100:Q100" si="61">D99*EXP(-D$18/($D$13*0.7)*12)</f>
        <v>#DIV/0!</v>
      </c>
      <c r="E100" s="2" t="e">
        <f t="shared" si="61"/>
        <v>#DIV/0!</v>
      </c>
      <c r="F100" s="2" t="e">
        <f t="shared" si="61"/>
        <v>#DIV/0!</v>
      </c>
      <c r="G100" s="2" t="e">
        <f t="shared" si="61"/>
        <v>#DIV/0!</v>
      </c>
      <c r="H100" s="2" t="e">
        <f t="shared" si="61"/>
        <v>#DIV/0!</v>
      </c>
      <c r="I100" s="2" t="e">
        <f t="shared" si="61"/>
        <v>#DIV/0!</v>
      </c>
      <c r="J100" s="2" t="e">
        <f t="shared" si="61"/>
        <v>#DIV/0!</v>
      </c>
      <c r="K100" s="2" t="e">
        <f t="shared" si="61"/>
        <v>#DIV/0!</v>
      </c>
      <c r="L100" s="2" t="e">
        <f t="shared" si="61"/>
        <v>#DIV/0!</v>
      </c>
      <c r="M100" s="2" t="e">
        <f t="shared" si="61"/>
        <v>#DIV/0!</v>
      </c>
      <c r="N100" s="2" t="e">
        <f t="shared" si="61"/>
        <v>#DIV/0!</v>
      </c>
      <c r="O100" s="2" t="e">
        <f t="shared" si="61"/>
        <v>#DIV/0!</v>
      </c>
      <c r="P100" s="2" t="e">
        <f t="shared" si="61"/>
        <v>#DIV/0!</v>
      </c>
      <c r="Q100" s="2" t="e">
        <f t="shared" si="61"/>
        <v>#DIV/0!</v>
      </c>
    </row>
    <row r="101" spans="2:17" x14ac:dyDescent="0.25">
      <c r="B101" s="3" t="s">
        <v>55</v>
      </c>
      <c r="C101" s="3" t="s">
        <v>47</v>
      </c>
      <c r="D101" s="2" t="e">
        <f t="shared" ref="D101:Q101" si="62">D99*EXP(-D$18/(0.7*$D$13)*$C$71)</f>
        <v>#DIV/0!</v>
      </c>
      <c r="E101" s="2" t="e">
        <f t="shared" si="62"/>
        <v>#DIV/0!</v>
      </c>
      <c r="F101" s="2" t="e">
        <f t="shared" si="62"/>
        <v>#DIV/0!</v>
      </c>
      <c r="G101" s="2" t="e">
        <f t="shared" si="62"/>
        <v>#DIV/0!</v>
      </c>
      <c r="H101" s="2" t="e">
        <f t="shared" si="62"/>
        <v>#DIV/0!</v>
      </c>
      <c r="I101" s="2" t="e">
        <f t="shared" si="62"/>
        <v>#DIV/0!</v>
      </c>
      <c r="J101" s="2" t="e">
        <f t="shared" si="62"/>
        <v>#DIV/0!</v>
      </c>
      <c r="K101" s="2" t="e">
        <f t="shared" si="62"/>
        <v>#DIV/0!</v>
      </c>
      <c r="L101" s="2" t="e">
        <f t="shared" si="62"/>
        <v>#DIV/0!</v>
      </c>
      <c r="M101" s="2" t="e">
        <f t="shared" si="62"/>
        <v>#DIV/0!</v>
      </c>
      <c r="N101" s="2" t="e">
        <f t="shared" si="62"/>
        <v>#DIV/0!</v>
      </c>
      <c r="O101" s="2" t="e">
        <f t="shared" si="62"/>
        <v>#DIV/0!</v>
      </c>
      <c r="P101" s="2" t="e">
        <f t="shared" si="62"/>
        <v>#DIV/0!</v>
      </c>
      <c r="Q101" s="2" t="e">
        <f t="shared" si="62"/>
        <v>#DIV/0!</v>
      </c>
    </row>
    <row r="102" spans="2:17" x14ac:dyDescent="0.25">
      <c r="B102" s="3" t="s">
        <v>55</v>
      </c>
      <c r="C102" s="3" t="s">
        <v>30</v>
      </c>
      <c r="D102" s="2" t="e">
        <f>D101+D$72</f>
        <v>#DIV/0!</v>
      </c>
      <c r="E102" s="2" t="e">
        <f>E101+E$72</f>
        <v>#DIV/0!</v>
      </c>
      <c r="F102" s="2" t="e">
        <f t="shared" ref="F102:Q102" si="63">F101+F$72</f>
        <v>#DIV/0!</v>
      </c>
      <c r="G102" s="2" t="e">
        <f t="shared" si="63"/>
        <v>#DIV/0!</v>
      </c>
      <c r="H102" s="2" t="e">
        <f t="shared" si="63"/>
        <v>#DIV/0!</v>
      </c>
      <c r="I102" s="2" t="e">
        <f t="shared" si="63"/>
        <v>#DIV/0!</v>
      </c>
      <c r="J102" s="2" t="e">
        <f t="shared" si="63"/>
        <v>#DIV/0!</v>
      </c>
      <c r="K102" s="2" t="e">
        <f t="shared" si="63"/>
        <v>#DIV/0!</v>
      </c>
      <c r="L102" s="2" t="e">
        <f t="shared" si="63"/>
        <v>#DIV/0!</v>
      </c>
      <c r="M102" s="2" t="e">
        <f t="shared" si="63"/>
        <v>#DIV/0!</v>
      </c>
      <c r="N102" s="2" t="e">
        <f t="shared" si="63"/>
        <v>#DIV/0!</v>
      </c>
      <c r="O102" s="2" t="e">
        <f t="shared" si="63"/>
        <v>#DIV/0!</v>
      </c>
      <c r="P102" s="2" t="e">
        <f t="shared" si="63"/>
        <v>#DIV/0!</v>
      </c>
      <c r="Q102" s="2" t="e">
        <f t="shared" si="63"/>
        <v>#DIV/0!</v>
      </c>
    </row>
    <row r="103" spans="2:17" x14ac:dyDescent="0.25">
      <c r="B103" s="3" t="s">
        <v>55</v>
      </c>
      <c r="C103" s="3" t="s">
        <v>43</v>
      </c>
      <c r="D103" s="2" t="e">
        <f t="shared" ref="D103:Q103" si="64">D102*EXP(-D$18/($D$13*0.7)*12)</f>
        <v>#DIV/0!</v>
      </c>
      <c r="E103" s="2" t="e">
        <f t="shared" si="64"/>
        <v>#DIV/0!</v>
      </c>
      <c r="F103" s="2" t="e">
        <f t="shared" si="64"/>
        <v>#DIV/0!</v>
      </c>
      <c r="G103" s="2" t="e">
        <f t="shared" si="64"/>
        <v>#DIV/0!</v>
      </c>
      <c r="H103" s="2" t="e">
        <f t="shared" si="64"/>
        <v>#DIV/0!</v>
      </c>
      <c r="I103" s="2" t="e">
        <f t="shared" si="64"/>
        <v>#DIV/0!</v>
      </c>
      <c r="J103" s="2" t="e">
        <f t="shared" si="64"/>
        <v>#DIV/0!</v>
      </c>
      <c r="K103" s="2" t="e">
        <f t="shared" si="64"/>
        <v>#DIV/0!</v>
      </c>
      <c r="L103" s="2" t="e">
        <f t="shared" si="64"/>
        <v>#DIV/0!</v>
      </c>
      <c r="M103" s="2" t="e">
        <f t="shared" si="64"/>
        <v>#DIV/0!</v>
      </c>
      <c r="N103" s="2" t="e">
        <f t="shared" si="64"/>
        <v>#DIV/0!</v>
      </c>
      <c r="O103" s="2" t="e">
        <f t="shared" si="64"/>
        <v>#DIV/0!</v>
      </c>
      <c r="P103" s="2" t="e">
        <f t="shared" si="64"/>
        <v>#DIV/0!</v>
      </c>
      <c r="Q103" s="2" t="e">
        <f t="shared" si="64"/>
        <v>#DIV/0!</v>
      </c>
    </row>
    <row r="104" spans="2:17" x14ac:dyDescent="0.25">
      <c r="B104" s="3" t="s">
        <v>56</v>
      </c>
      <c r="C104" s="3" t="s">
        <v>47</v>
      </c>
      <c r="D104" s="2" t="e">
        <f t="shared" ref="D104:Q104" si="65">D102*EXP(-D$18/(0.7*$D$13)*$C$71)</f>
        <v>#DIV/0!</v>
      </c>
      <c r="E104" s="2" t="e">
        <f t="shared" si="65"/>
        <v>#DIV/0!</v>
      </c>
      <c r="F104" s="2" t="e">
        <f t="shared" si="65"/>
        <v>#DIV/0!</v>
      </c>
      <c r="G104" s="2" t="e">
        <f t="shared" si="65"/>
        <v>#DIV/0!</v>
      </c>
      <c r="H104" s="2" t="e">
        <f t="shared" si="65"/>
        <v>#DIV/0!</v>
      </c>
      <c r="I104" s="2" t="e">
        <f t="shared" si="65"/>
        <v>#DIV/0!</v>
      </c>
      <c r="J104" s="2" t="e">
        <f t="shared" si="65"/>
        <v>#DIV/0!</v>
      </c>
      <c r="K104" s="2" t="e">
        <f t="shared" si="65"/>
        <v>#DIV/0!</v>
      </c>
      <c r="L104" s="2" t="e">
        <f t="shared" si="65"/>
        <v>#DIV/0!</v>
      </c>
      <c r="M104" s="2" t="e">
        <f t="shared" si="65"/>
        <v>#DIV/0!</v>
      </c>
      <c r="N104" s="2" t="e">
        <f t="shared" si="65"/>
        <v>#DIV/0!</v>
      </c>
      <c r="O104" s="2" t="e">
        <f t="shared" si="65"/>
        <v>#DIV/0!</v>
      </c>
      <c r="P104" s="2" t="e">
        <f t="shared" si="65"/>
        <v>#DIV/0!</v>
      </c>
      <c r="Q104" s="2" t="e">
        <f t="shared" si="65"/>
        <v>#DIV/0!</v>
      </c>
    </row>
    <row r="105" spans="2:17" x14ac:dyDescent="0.25">
      <c r="B105" s="3" t="s">
        <v>56</v>
      </c>
      <c r="C105" s="3" t="s">
        <v>30</v>
      </c>
      <c r="D105" s="2" t="e">
        <f>D104+D$72</f>
        <v>#DIV/0!</v>
      </c>
      <c r="E105" s="2" t="e">
        <f>E104+E$72</f>
        <v>#DIV/0!</v>
      </c>
      <c r="F105" s="2" t="e">
        <f t="shared" ref="F105:Q105" si="66">F104+F$72</f>
        <v>#DIV/0!</v>
      </c>
      <c r="G105" s="2" t="e">
        <f t="shared" si="66"/>
        <v>#DIV/0!</v>
      </c>
      <c r="H105" s="2" t="e">
        <f t="shared" si="66"/>
        <v>#DIV/0!</v>
      </c>
      <c r="I105" s="2" t="e">
        <f t="shared" si="66"/>
        <v>#DIV/0!</v>
      </c>
      <c r="J105" s="2" t="e">
        <f t="shared" si="66"/>
        <v>#DIV/0!</v>
      </c>
      <c r="K105" s="2" t="e">
        <f t="shared" si="66"/>
        <v>#DIV/0!</v>
      </c>
      <c r="L105" s="2" t="e">
        <f t="shared" si="66"/>
        <v>#DIV/0!</v>
      </c>
      <c r="M105" s="2" t="e">
        <f t="shared" si="66"/>
        <v>#DIV/0!</v>
      </c>
      <c r="N105" s="2" t="e">
        <f t="shared" si="66"/>
        <v>#DIV/0!</v>
      </c>
      <c r="O105" s="2" t="e">
        <f t="shared" si="66"/>
        <v>#DIV/0!</v>
      </c>
      <c r="P105" s="2" t="e">
        <f t="shared" si="66"/>
        <v>#DIV/0!</v>
      </c>
      <c r="Q105" s="2" t="e">
        <f t="shared" si="66"/>
        <v>#DIV/0!</v>
      </c>
    </row>
    <row r="106" spans="2:17" x14ac:dyDescent="0.25">
      <c r="B106" s="3" t="s">
        <v>56</v>
      </c>
      <c r="C106" s="3" t="s">
        <v>43</v>
      </c>
      <c r="D106" s="2" t="e">
        <f t="shared" ref="D106:Q106" si="67">D105*EXP(-D$18/($D$13*0.7)*12)</f>
        <v>#DIV/0!</v>
      </c>
      <c r="E106" s="2" t="e">
        <f t="shared" si="67"/>
        <v>#DIV/0!</v>
      </c>
      <c r="F106" s="2" t="e">
        <f t="shared" si="67"/>
        <v>#DIV/0!</v>
      </c>
      <c r="G106" s="2" t="e">
        <f t="shared" si="67"/>
        <v>#DIV/0!</v>
      </c>
      <c r="H106" s="2" t="e">
        <f t="shared" si="67"/>
        <v>#DIV/0!</v>
      </c>
      <c r="I106" s="2" t="e">
        <f t="shared" si="67"/>
        <v>#DIV/0!</v>
      </c>
      <c r="J106" s="2" t="e">
        <f t="shared" si="67"/>
        <v>#DIV/0!</v>
      </c>
      <c r="K106" s="2" t="e">
        <f t="shared" si="67"/>
        <v>#DIV/0!</v>
      </c>
      <c r="L106" s="2" t="e">
        <f t="shared" si="67"/>
        <v>#DIV/0!</v>
      </c>
      <c r="M106" s="2" t="e">
        <f t="shared" si="67"/>
        <v>#DIV/0!</v>
      </c>
      <c r="N106" s="2" t="e">
        <f t="shared" si="67"/>
        <v>#DIV/0!</v>
      </c>
      <c r="O106" s="2" t="e">
        <f t="shared" si="67"/>
        <v>#DIV/0!</v>
      </c>
      <c r="P106" s="2" t="e">
        <f t="shared" si="67"/>
        <v>#DIV/0!</v>
      </c>
      <c r="Q106" s="2" t="e">
        <f t="shared" si="67"/>
        <v>#DIV/0!</v>
      </c>
    </row>
    <row r="107" spans="2:17" x14ac:dyDescent="0.25">
      <c r="B107" s="3" t="s">
        <v>57</v>
      </c>
      <c r="C107" s="3" t="s">
        <v>47</v>
      </c>
      <c r="D107" s="2" t="e">
        <f t="shared" ref="D107:Q107" si="68">D105*EXP(-D$18/(0.7*$D$13)*$C$71)</f>
        <v>#DIV/0!</v>
      </c>
      <c r="E107" s="2" t="e">
        <f t="shared" si="68"/>
        <v>#DIV/0!</v>
      </c>
      <c r="F107" s="2" t="e">
        <f t="shared" si="68"/>
        <v>#DIV/0!</v>
      </c>
      <c r="G107" s="2" t="e">
        <f t="shared" si="68"/>
        <v>#DIV/0!</v>
      </c>
      <c r="H107" s="2" t="e">
        <f t="shared" si="68"/>
        <v>#DIV/0!</v>
      </c>
      <c r="I107" s="2" t="e">
        <f t="shared" si="68"/>
        <v>#DIV/0!</v>
      </c>
      <c r="J107" s="2" t="e">
        <f t="shared" si="68"/>
        <v>#DIV/0!</v>
      </c>
      <c r="K107" s="2" t="e">
        <f t="shared" si="68"/>
        <v>#DIV/0!</v>
      </c>
      <c r="L107" s="2" t="e">
        <f t="shared" si="68"/>
        <v>#DIV/0!</v>
      </c>
      <c r="M107" s="2" t="e">
        <f t="shared" si="68"/>
        <v>#DIV/0!</v>
      </c>
      <c r="N107" s="2" t="e">
        <f t="shared" si="68"/>
        <v>#DIV/0!</v>
      </c>
      <c r="O107" s="2" t="e">
        <f t="shared" si="68"/>
        <v>#DIV/0!</v>
      </c>
      <c r="P107" s="2" t="e">
        <f t="shared" si="68"/>
        <v>#DIV/0!</v>
      </c>
      <c r="Q107" s="2" t="e">
        <f t="shared" si="68"/>
        <v>#DIV/0!</v>
      </c>
    </row>
    <row r="108" spans="2:17" x14ac:dyDescent="0.25">
      <c r="B108" s="3" t="s">
        <v>57</v>
      </c>
      <c r="C108" s="3" t="s">
        <v>30</v>
      </c>
      <c r="D108" s="2" t="e">
        <f>D107+D$72</f>
        <v>#DIV/0!</v>
      </c>
      <c r="E108" s="2" t="e">
        <f>E107+E$72</f>
        <v>#DIV/0!</v>
      </c>
      <c r="F108" s="2" t="e">
        <f t="shared" ref="F108:Q108" si="69">F107+F$72</f>
        <v>#DIV/0!</v>
      </c>
      <c r="G108" s="2" t="e">
        <f t="shared" si="69"/>
        <v>#DIV/0!</v>
      </c>
      <c r="H108" s="2" t="e">
        <f t="shared" si="69"/>
        <v>#DIV/0!</v>
      </c>
      <c r="I108" s="2" t="e">
        <f t="shared" si="69"/>
        <v>#DIV/0!</v>
      </c>
      <c r="J108" s="2" t="e">
        <f t="shared" si="69"/>
        <v>#DIV/0!</v>
      </c>
      <c r="K108" s="2" t="e">
        <f t="shared" si="69"/>
        <v>#DIV/0!</v>
      </c>
      <c r="L108" s="2" t="e">
        <f t="shared" si="69"/>
        <v>#DIV/0!</v>
      </c>
      <c r="M108" s="2" t="e">
        <f t="shared" si="69"/>
        <v>#DIV/0!</v>
      </c>
      <c r="N108" s="2" t="e">
        <f t="shared" si="69"/>
        <v>#DIV/0!</v>
      </c>
      <c r="O108" s="2" t="e">
        <f t="shared" si="69"/>
        <v>#DIV/0!</v>
      </c>
      <c r="P108" s="2" t="e">
        <f t="shared" si="69"/>
        <v>#DIV/0!</v>
      </c>
      <c r="Q108" s="2" t="e">
        <f t="shared" si="69"/>
        <v>#DIV/0!</v>
      </c>
    </row>
    <row r="109" spans="2:17" x14ac:dyDescent="0.25">
      <c r="B109" s="3" t="s">
        <v>57</v>
      </c>
      <c r="C109" s="3" t="s">
        <v>43</v>
      </c>
      <c r="D109" s="2" t="e">
        <f t="shared" ref="D109:Q109" si="70">D108*EXP(-D$18/($D$13*0.7)*12)</f>
        <v>#DIV/0!</v>
      </c>
      <c r="E109" s="2" t="e">
        <f t="shared" si="70"/>
        <v>#DIV/0!</v>
      </c>
      <c r="F109" s="2" t="e">
        <f t="shared" si="70"/>
        <v>#DIV/0!</v>
      </c>
      <c r="G109" s="2" t="e">
        <f t="shared" si="70"/>
        <v>#DIV/0!</v>
      </c>
      <c r="H109" s="2" t="e">
        <f t="shared" si="70"/>
        <v>#DIV/0!</v>
      </c>
      <c r="I109" s="2" t="e">
        <f t="shared" si="70"/>
        <v>#DIV/0!</v>
      </c>
      <c r="J109" s="2" t="e">
        <f t="shared" si="70"/>
        <v>#DIV/0!</v>
      </c>
      <c r="K109" s="2" t="e">
        <f t="shared" si="70"/>
        <v>#DIV/0!</v>
      </c>
      <c r="L109" s="2" t="e">
        <f t="shared" si="70"/>
        <v>#DIV/0!</v>
      </c>
      <c r="M109" s="2" t="e">
        <f t="shared" si="70"/>
        <v>#DIV/0!</v>
      </c>
      <c r="N109" s="2" t="e">
        <f t="shared" si="70"/>
        <v>#DIV/0!</v>
      </c>
      <c r="O109" s="2" t="e">
        <f t="shared" si="70"/>
        <v>#DIV/0!</v>
      </c>
      <c r="P109" s="2" t="e">
        <f t="shared" si="70"/>
        <v>#DIV/0!</v>
      </c>
      <c r="Q109" s="2" t="e">
        <f t="shared" si="70"/>
        <v>#DIV/0!</v>
      </c>
    </row>
    <row r="110" spans="2:17" x14ac:dyDescent="0.25">
      <c r="B110" s="3" t="s">
        <v>58</v>
      </c>
      <c r="C110" s="3" t="s">
        <v>47</v>
      </c>
      <c r="D110" s="2" t="e">
        <f t="shared" ref="D110:Q110" si="71">D108*EXP(-D$18/(0.7*$D$13)*$C$71)</f>
        <v>#DIV/0!</v>
      </c>
      <c r="E110" s="2" t="e">
        <f t="shared" si="71"/>
        <v>#DIV/0!</v>
      </c>
      <c r="F110" s="2" t="e">
        <f t="shared" si="71"/>
        <v>#DIV/0!</v>
      </c>
      <c r="G110" s="2" t="e">
        <f t="shared" si="71"/>
        <v>#DIV/0!</v>
      </c>
      <c r="H110" s="2" t="e">
        <f t="shared" si="71"/>
        <v>#DIV/0!</v>
      </c>
      <c r="I110" s="2" t="e">
        <f t="shared" si="71"/>
        <v>#DIV/0!</v>
      </c>
      <c r="J110" s="2" t="e">
        <f t="shared" si="71"/>
        <v>#DIV/0!</v>
      </c>
      <c r="K110" s="2" t="e">
        <f t="shared" si="71"/>
        <v>#DIV/0!</v>
      </c>
      <c r="L110" s="2" t="e">
        <f t="shared" si="71"/>
        <v>#DIV/0!</v>
      </c>
      <c r="M110" s="2" t="e">
        <f t="shared" si="71"/>
        <v>#DIV/0!</v>
      </c>
      <c r="N110" s="2" t="e">
        <f t="shared" si="71"/>
        <v>#DIV/0!</v>
      </c>
      <c r="O110" s="2" t="e">
        <f t="shared" si="71"/>
        <v>#DIV/0!</v>
      </c>
      <c r="P110" s="2" t="e">
        <f t="shared" si="71"/>
        <v>#DIV/0!</v>
      </c>
      <c r="Q110" s="2" t="e">
        <f t="shared" si="71"/>
        <v>#DIV/0!</v>
      </c>
    </row>
    <row r="111" spans="2:17" x14ac:dyDescent="0.25">
      <c r="B111" s="3" t="s">
        <v>58</v>
      </c>
      <c r="C111" s="3" t="s">
        <v>30</v>
      </c>
      <c r="D111" s="2" t="e">
        <f>D110+D$72</f>
        <v>#DIV/0!</v>
      </c>
      <c r="E111" s="2" t="e">
        <f>E110+E$72</f>
        <v>#DIV/0!</v>
      </c>
      <c r="F111" s="2" t="e">
        <f t="shared" ref="F111:Q111" si="72">F110+F$72</f>
        <v>#DIV/0!</v>
      </c>
      <c r="G111" s="2" t="e">
        <f t="shared" si="72"/>
        <v>#DIV/0!</v>
      </c>
      <c r="H111" s="2" t="e">
        <f t="shared" si="72"/>
        <v>#DIV/0!</v>
      </c>
      <c r="I111" s="2" t="e">
        <f t="shared" si="72"/>
        <v>#DIV/0!</v>
      </c>
      <c r="J111" s="2" t="e">
        <f t="shared" si="72"/>
        <v>#DIV/0!</v>
      </c>
      <c r="K111" s="2" t="e">
        <f t="shared" si="72"/>
        <v>#DIV/0!</v>
      </c>
      <c r="L111" s="2" t="e">
        <f t="shared" si="72"/>
        <v>#DIV/0!</v>
      </c>
      <c r="M111" s="2" t="e">
        <f t="shared" si="72"/>
        <v>#DIV/0!</v>
      </c>
      <c r="N111" s="2" t="e">
        <f t="shared" si="72"/>
        <v>#DIV/0!</v>
      </c>
      <c r="O111" s="2" t="e">
        <f t="shared" si="72"/>
        <v>#DIV/0!</v>
      </c>
      <c r="P111" s="2" t="e">
        <f t="shared" si="72"/>
        <v>#DIV/0!</v>
      </c>
      <c r="Q111" s="2" t="e">
        <f t="shared" si="72"/>
        <v>#DIV/0!</v>
      </c>
    </row>
    <row r="112" spans="2:17" x14ac:dyDescent="0.25">
      <c r="B112" s="3" t="s">
        <v>58</v>
      </c>
      <c r="C112" s="3" t="s">
        <v>43</v>
      </c>
      <c r="D112" s="2" t="e">
        <f t="shared" ref="D112:Q112" si="73">D111*EXP(-D$18/($D$13*0.7)*12)</f>
        <v>#DIV/0!</v>
      </c>
      <c r="E112" s="2" t="e">
        <f t="shared" si="73"/>
        <v>#DIV/0!</v>
      </c>
      <c r="F112" s="2" t="e">
        <f t="shared" si="73"/>
        <v>#DIV/0!</v>
      </c>
      <c r="G112" s="2" t="e">
        <f t="shared" si="73"/>
        <v>#DIV/0!</v>
      </c>
      <c r="H112" s="2" t="e">
        <f t="shared" si="73"/>
        <v>#DIV/0!</v>
      </c>
      <c r="I112" s="2" t="e">
        <f t="shared" si="73"/>
        <v>#DIV/0!</v>
      </c>
      <c r="J112" s="2" t="e">
        <f t="shared" si="73"/>
        <v>#DIV/0!</v>
      </c>
      <c r="K112" s="2" t="e">
        <f t="shared" si="73"/>
        <v>#DIV/0!</v>
      </c>
      <c r="L112" s="2" t="e">
        <f t="shared" si="73"/>
        <v>#DIV/0!</v>
      </c>
      <c r="M112" s="2" t="e">
        <f t="shared" si="73"/>
        <v>#DIV/0!</v>
      </c>
      <c r="N112" s="2" t="e">
        <f t="shared" si="73"/>
        <v>#DIV/0!</v>
      </c>
      <c r="O112" s="2" t="e">
        <f t="shared" si="73"/>
        <v>#DIV/0!</v>
      </c>
      <c r="P112" s="2" t="e">
        <f t="shared" si="73"/>
        <v>#DIV/0!</v>
      </c>
      <c r="Q112" s="2" t="e">
        <f t="shared" si="73"/>
        <v>#DIV/0!</v>
      </c>
    </row>
    <row r="113" spans="2:17" x14ac:dyDescent="0.25">
      <c r="B113" s="3" t="s">
        <v>59</v>
      </c>
      <c r="C113" s="3" t="s">
        <v>47</v>
      </c>
      <c r="D113" s="2" t="e">
        <f t="shared" ref="D113:Q113" si="74">D111*EXP(-D$18/(0.7*$D$13)*$C$71)</f>
        <v>#DIV/0!</v>
      </c>
      <c r="E113" s="2" t="e">
        <f t="shared" si="74"/>
        <v>#DIV/0!</v>
      </c>
      <c r="F113" s="2" t="e">
        <f t="shared" si="74"/>
        <v>#DIV/0!</v>
      </c>
      <c r="G113" s="2" t="e">
        <f t="shared" si="74"/>
        <v>#DIV/0!</v>
      </c>
      <c r="H113" s="2" t="e">
        <f t="shared" si="74"/>
        <v>#DIV/0!</v>
      </c>
      <c r="I113" s="2" t="e">
        <f t="shared" si="74"/>
        <v>#DIV/0!</v>
      </c>
      <c r="J113" s="2" t="e">
        <f t="shared" si="74"/>
        <v>#DIV/0!</v>
      </c>
      <c r="K113" s="2" t="e">
        <f t="shared" si="74"/>
        <v>#DIV/0!</v>
      </c>
      <c r="L113" s="2" t="e">
        <f t="shared" si="74"/>
        <v>#DIV/0!</v>
      </c>
      <c r="M113" s="2" t="e">
        <f t="shared" si="74"/>
        <v>#DIV/0!</v>
      </c>
      <c r="N113" s="2" t="e">
        <f t="shared" si="74"/>
        <v>#DIV/0!</v>
      </c>
      <c r="O113" s="2" t="e">
        <f t="shared" si="74"/>
        <v>#DIV/0!</v>
      </c>
      <c r="P113" s="2" t="e">
        <f t="shared" si="74"/>
        <v>#DIV/0!</v>
      </c>
      <c r="Q113" s="2" t="e">
        <f t="shared" si="74"/>
        <v>#DIV/0!</v>
      </c>
    </row>
    <row r="114" spans="2:17" x14ac:dyDescent="0.25">
      <c r="B114" s="3" t="s">
        <v>59</v>
      </c>
      <c r="C114" s="3" t="s">
        <v>30</v>
      </c>
      <c r="D114" s="2" t="e">
        <f>D113+D$72</f>
        <v>#DIV/0!</v>
      </c>
      <c r="E114" s="2" t="e">
        <f>E113+E$72</f>
        <v>#DIV/0!</v>
      </c>
      <c r="F114" s="2" t="e">
        <f t="shared" ref="F114:Q114" si="75">F113+F$72</f>
        <v>#DIV/0!</v>
      </c>
      <c r="G114" s="2" t="e">
        <f t="shared" si="75"/>
        <v>#DIV/0!</v>
      </c>
      <c r="H114" s="2" t="e">
        <f t="shared" si="75"/>
        <v>#DIV/0!</v>
      </c>
      <c r="I114" s="2" t="e">
        <f t="shared" si="75"/>
        <v>#DIV/0!</v>
      </c>
      <c r="J114" s="2" t="e">
        <f t="shared" si="75"/>
        <v>#DIV/0!</v>
      </c>
      <c r="K114" s="2" t="e">
        <f t="shared" si="75"/>
        <v>#DIV/0!</v>
      </c>
      <c r="L114" s="2" t="e">
        <f t="shared" si="75"/>
        <v>#DIV/0!</v>
      </c>
      <c r="M114" s="2" t="e">
        <f t="shared" si="75"/>
        <v>#DIV/0!</v>
      </c>
      <c r="N114" s="2" t="e">
        <f t="shared" si="75"/>
        <v>#DIV/0!</v>
      </c>
      <c r="O114" s="2" t="e">
        <f t="shared" si="75"/>
        <v>#DIV/0!</v>
      </c>
      <c r="P114" s="2" t="e">
        <f t="shared" si="75"/>
        <v>#DIV/0!</v>
      </c>
      <c r="Q114" s="2" t="e">
        <f t="shared" si="75"/>
        <v>#DIV/0!</v>
      </c>
    </row>
    <row r="115" spans="2:17" x14ac:dyDescent="0.25">
      <c r="B115" s="3" t="s">
        <v>59</v>
      </c>
      <c r="C115" s="3" t="s">
        <v>43</v>
      </c>
      <c r="D115" s="2" t="e">
        <f t="shared" ref="D115:Q115" si="76">D114*EXP(-D$18/($D$13*0.7)*12)</f>
        <v>#DIV/0!</v>
      </c>
      <c r="E115" s="2" t="e">
        <f t="shared" si="76"/>
        <v>#DIV/0!</v>
      </c>
      <c r="F115" s="2" t="e">
        <f t="shared" si="76"/>
        <v>#DIV/0!</v>
      </c>
      <c r="G115" s="2" t="e">
        <f t="shared" si="76"/>
        <v>#DIV/0!</v>
      </c>
      <c r="H115" s="2" t="e">
        <f t="shared" si="76"/>
        <v>#DIV/0!</v>
      </c>
      <c r="I115" s="2" t="e">
        <f t="shared" si="76"/>
        <v>#DIV/0!</v>
      </c>
      <c r="J115" s="2" t="e">
        <f t="shared" si="76"/>
        <v>#DIV/0!</v>
      </c>
      <c r="K115" s="2" t="e">
        <f t="shared" si="76"/>
        <v>#DIV/0!</v>
      </c>
      <c r="L115" s="2" t="e">
        <f t="shared" si="76"/>
        <v>#DIV/0!</v>
      </c>
      <c r="M115" s="2" t="e">
        <f t="shared" si="76"/>
        <v>#DIV/0!</v>
      </c>
      <c r="N115" s="2" t="e">
        <f t="shared" si="76"/>
        <v>#DIV/0!</v>
      </c>
      <c r="O115" s="2" t="e">
        <f t="shared" si="76"/>
        <v>#DIV/0!</v>
      </c>
      <c r="P115" s="2" t="e">
        <f t="shared" si="76"/>
        <v>#DIV/0!</v>
      </c>
      <c r="Q115" s="2" t="e">
        <f t="shared" si="76"/>
        <v>#DIV/0!</v>
      </c>
    </row>
    <row r="116" spans="2:17" x14ac:dyDescent="0.25">
      <c r="B116" s="3" t="s">
        <v>60</v>
      </c>
      <c r="C116" s="3" t="s">
        <v>47</v>
      </c>
      <c r="D116" s="2" t="e">
        <f t="shared" ref="D116:Q116" si="77">D114*EXP(-D$18/(0.7*$D$13)*$C$71)</f>
        <v>#DIV/0!</v>
      </c>
      <c r="E116" s="2" t="e">
        <f t="shared" si="77"/>
        <v>#DIV/0!</v>
      </c>
      <c r="F116" s="2" t="e">
        <f t="shared" si="77"/>
        <v>#DIV/0!</v>
      </c>
      <c r="G116" s="2" t="e">
        <f t="shared" si="77"/>
        <v>#DIV/0!</v>
      </c>
      <c r="H116" s="2" t="e">
        <f t="shared" si="77"/>
        <v>#DIV/0!</v>
      </c>
      <c r="I116" s="2" t="e">
        <f t="shared" si="77"/>
        <v>#DIV/0!</v>
      </c>
      <c r="J116" s="2" t="e">
        <f t="shared" si="77"/>
        <v>#DIV/0!</v>
      </c>
      <c r="K116" s="2" t="e">
        <f t="shared" si="77"/>
        <v>#DIV/0!</v>
      </c>
      <c r="L116" s="2" t="e">
        <f t="shared" si="77"/>
        <v>#DIV/0!</v>
      </c>
      <c r="M116" s="2" t="e">
        <f t="shared" si="77"/>
        <v>#DIV/0!</v>
      </c>
      <c r="N116" s="2" t="e">
        <f t="shared" si="77"/>
        <v>#DIV/0!</v>
      </c>
      <c r="O116" s="2" t="e">
        <f t="shared" si="77"/>
        <v>#DIV/0!</v>
      </c>
      <c r="P116" s="2" t="e">
        <f t="shared" si="77"/>
        <v>#DIV/0!</v>
      </c>
      <c r="Q116" s="2" t="e">
        <f t="shared" si="77"/>
        <v>#DIV/0!</v>
      </c>
    </row>
    <row r="117" spans="2:17" x14ac:dyDescent="0.25">
      <c r="B117" s="3" t="s">
        <v>60</v>
      </c>
      <c r="C117" s="3" t="s">
        <v>30</v>
      </c>
      <c r="D117" s="2" t="e">
        <f>D116+D$72</f>
        <v>#DIV/0!</v>
      </c>
      <c r="E117" s="2" t="e">
        <f>E116+E$72</f>
        <v>#DIV/0!</v>
      </c>
      <c r="F117" s="2" t="e">
        <f t="shared" ref="F117:Q117" si="78">F116+F$72</f>
        <v>#DIV/0!</v>
      </c>
      <c r="G117" s="2" t="e">
        <f t="shared" si="78"/>
        <v>#DIV/0!</v>
      </c>
      <c r="H117" s="2" t="e">
        <f t="shared" si="78"/>
        <v>#DIV/0!</v>
      </c>
      <c r="I117" s="2" t="e">
        <f t="shared" si="78"/>
        <v>#DIV/0!</v>
      </c>
      <c r="J117" s="2" t="e">
        <f t="shared" si="78"/>
        <v>#DIV/0!</v>
      </c>
      <c r="K117" s="2" t="e">
        <f t="shared" si="78"/>
        <v>#DIV/0!</v>
      </c>
      <c r="L117" s="2" t="e">
        <f t="shared" si="78"/>
        <v>#DIV/0!</v>
      </c>
      <c r="M117" s="2" t="e">
        <f t="shared" si="78"/>
        <v>#DIV/0!</v>
      </c>
      <c r="N117" s="2" t="e">
        <f t="shared" si="78"/>
        <v>#DIV/0!</v>
      </c>
      <c r="O117" s="2" t="e">
        <f t="shared" si="78"/>
        <v>#DIV/0!</v>
      </c>
      <c r="P117" s="2" t="e">
        <f t="shared" si="78"/>
        <v>#DIV/0!</v>
      </c>
      <c r="Q117" s="2" t="e">
        <f t="shared" si="78"/>
        <v>#DIV/0!</v>
      </c>
    </row>
    <row r="118" spans="2:17" x14ac:dyDescent="0.25">
      <c r="B118" s="3" t="s">
        <v>60</v>
      </c>
      <c r="C118" s="3" t="s">
        <v>43</v>
      </c>
      <c r="D118" s="2" t="e">
        <f t="shared" ref="D118:Q118" si="79">D117*EXP(-D$18/($D$13*0.7)*12)</f>
        <v>#DIV/0!</v>
      </c>
      <c r="E118" s="2" t="e">
        <f t="shared" si="79"/>
        <v>#DIV/0!</v>
      </c>
      <c r="F118" s="2" t="e">
        <f t="shared" si="79"/>
        <v>#DIV/0!</v>
      </c>
      <c r="G118" s="2" t="e">
        <f t="shared" si="79"/>
        <v>#DIV/0!</v>
      </c>
      <c r="H118" s="2" t="e">
        <f t="shared" si="79"/>
        <v>#DIV/0!</v>
      </c>
      <c r="I118" s="2" t="e">
        <f t="shared" si="79"/>
        <v>#DIV/0!</v>
      </c>
      <c r="J118" s="2" t="e">
        <f t="shared" si="79"/>
        <v>#DIV/0!</v>
      </c>
      <c r="K118" s="2" t="e">
        <f t="shared" si="79"/>
        <v>#DIV/0!</v>
      </c>
      <c r="L118" s="2" t="e">
        <f t="shared" si="79"/>
        <v>#DIV/0!</v>
      </c>
      <c r="M118" s="2" t="e">
        <f t="shared" si="79"/>
        <v>#DIV/0!</v>
      </c>
      <c r="N118" s="2" t="e">
        <f t="shared" si="79"/>
        <v>#DIV/0!</v>
      </c>
      <c r="O118" s="2" t="e">
        <f t="shared" si="79"/>
        <v>#DIV/0!</v>
      </c>
      <c r="P118" s="2" t="e">
        <f t="shared" si="79"/>
        <v>#DIV/0!</v>
      </c>
      <c r="Q118" s="2" t="e">
        <f t="shared" si="79"/>
        <v>#DIV/0!</v>
      </c>
    </row>
    <row r="119" spans="2:17" x14ac:dyDescent="0.25">
      <c r="B119" s="3" t="s">
        <v>61</v>
      </c>
      <c r="C119" s="3" t="s">
        <v>47</v>
      </c>
      <c r="D119" s="2" t="e">
        <f t="shared" ref="D119:Q119" si="80">D117*EXP(-D$18/(0.7*$D$13)*$C$71)</f>
        <v>#DIV/0!</v>
      </c>
      <c r="E119" s="2" t="e">
        <f t="shared" si="80"/>
        <v>#DIV/0!</v>
      </c>
      <c r="F119" s="2" t="e">
        <f t="shared" si="80"/>
        <v>#DIV/0!</v>
      </c>
      <c r="G119" s="2" t="e">
        <f t="shared" si="80"/>
        <v>#DIV/0!</v>
      </c>
      <c r="H119" s="2" t="e">
        <f t="shared" si="80"/>
        <v>#DIV/0!</v>
      </c>
      <c r="I119" s="2" t="e">
        <f t="shared" si="80"/>
        <v>#DIV/0!</v>
      </c>
      <c r="J119" s="2" t="e">
        <f t="shared" si="80"/>
        <v>#DIV/0!</v>
      </c>
      <c r="K119" s="2" t="e">
        <f t="shared" si="80"/>
        <v>#DIV/0!</v>
      </c>
      <c r="L119" s="2" t="e">
        <f t="shared" si="80"/>
        <v>#DIV/0!</v>
      </c>
      <c r="M119" s="2" t="e">
        <f t="shared" si="80"/>
        <v>#DIV/0!</v>
      </c>
      <c r="N119" s="2" t="e">
        <f t="shared" si="80"/>
        <v>#DIV/0!</v>
      </c>
      <c r="O119" s="2" t="e">
        <f t="shared" si="80"/>
        <v>#DIV/0!</v>
      </c>
      <c r="P119" s="2" t="e">
        <f t="shared" si="80"/>
        <v>#DIV/0!</v>
      </c>
      <c r="Q119" s="2" t="e">
        <f t="shared" si="80"/>
        <v>#DIV/0!</v>
      </c>
    </row>
    <row r="120" spans="2:17" x14ac:dyDescent="0.25">
      <c r="B120" s="3" t="s">
        <v>61</v>
      </c>
      <c r="C120" s="3" t="s">
        <v>30</v>
      </c>
      <c r="D120" s="2" t="e">
        <f>D119+D$72</f>
        <v>#DIV/0!</v>
      </c>
      <c r="E120" s="2" t="e">
        <f>E119+E$72</f>
        <v>#DIV/0!</v>
      </c>
      <c r="F120" s="2" t="e">
        <f t="shared" ref="F120:Q120" si="81">F119+F$72</f>
        <v>#DIV/0!</v>
      </c>
      <c r="G120" s="2" t="e">
        <f t="shared" si="81"/>
        <v>#DIV/0!</v>
      </c>
      <c r="H120" s="2" t="e">
        <f t="shared" si="81"/>
        <v>#DIV/0!</v>
      </c>
      <c r="I120" s="2" t="e">
        <f t="shared" si="81"/>
        <v>#DIV/0!</v>
      </c>
      <c r="J120" s="2" t="e">
        <f t="shared" si="81"/>
        <v>#DIV/0!</v>
      </c>
      <c r="K120" s="2" t="e">
        <f t="shared" si="81"/>
        <v>#DIV/0!</v>
      </c>
      <c r="L120" s="2" t="e">
        <f t="shared" si="81"/>
        <v>#DIV/0!</v>
      </c>
      <c r="M120" s="2" t="e">
        <f t="shared" si="81"/>
        <v>#DIV/0!</v>
      </c>
      <c r="N120" s="2" t="e">
        <f t="shared" si="81"/>
        <v>#DIV/0!</v>
      </c>
      <c r="O120" s="2" t="e">
        <f t="shared" si="81"/>
        <v>#DIV/0!</v>
      </c>
      <c r="P120" s="2" t="e">
        <f t="shared" si="81"/>
        <v>#DIV/0!</v>
      </c>
      <c r="Q120" s="2" t="e">
        <f t="shared" si="81"/>
        <v>#DIV/0!</v>
      </c>
    </row>
    <row r="121" spans="2:17" x14ac:dyDescent="0.25">
      <c r="B121" s="3" t="s">
        <v>61</v>
      </c>
      <c r="C121" s="3" t="s">
        <v>43</v>
      </c>
      <c r="D121" s="2" t="e">
        <f t="shared" ref="D121:Q121" si="82">D120*EXP(-D$18/($D$13*0.7)*12)</f>
        <v>#DIV/0!</v>
      </c>
      <c r="E121" s="2" t="e">
        <f t="shared" si="82"/>
        <v>#DIV/0!</v>
      </c>
      <c r="F121" s="2" t="e">
        <f t="shared" si="82"/>
        <v>#DIV/0!</v>
      </c>
      <c r="G121" s="2" t="e">
        <f t="shared" si="82"/>
        <v>#DIV/0!</v>
      </c>
      <c r="H121" s="2" t="e">
        <f t="shared" si="82"/>
        <v>#DIV/0!</v>
      </c>
      <c r="I121" s="2" t="e">
        <f t="shared" si="82"/>
        <v>#DIV/0!</v>
      </c>
      <c r="J121" s="2" t="e">
        <f t="shared" si="82"/>
        <v>#DIV/0!</v>
      </c>
      <c r="K121" s="2" t="e">
        <f t="shared" si="82"/>
        <v>#DIV/0!</v>
      </c>
      <c r="L121" s="2" t="e">
        <f t="shared" si="82"/>
        <v>#DIV/0!</v>
      </c>
      <c r="M121" s="2" t="e">
        <f t="shared" si="82"/>
        <v>#DIV/0!</v>
      </c>
      <c r="N121" s="2" t="e">
        <f t="shared" si="82"/>
        <v>#DIV/0!</v>
      </c>
      <c r="O121" s="2" t="e">
        <f t="shared" si="82"/>
        <v>#DIV/0!</v>
      </c>
      <c r="P121" s="2" t="e">
        <f t="shared" si="82"/>
        <v>#DIV/0!</v>
      </c>
      <c r="Q121" s="2" t="e">
        <f t="shared" si="82"/>
        <v>#DIV/0!</v>
      </c>
    </row>
    <row r="122" spans="2:17" x14ac:dyDescent="0.25">
      <c r="B122" s="3" t="s">
        <v>62</v>
      </c>
      <c r="C122" s="3" t="s">
        <v>47</v>
      </c>
      <c r="D122" s="2" t="e">
        <f t="shared" ref="D122:Q122" si="83">D120*EXP(-D$18/(0.7*$D$13)*$C$71)</f>
        <v>#DIV/0!</v>
      </c>
      <c r="E122" s="2" t="e">
        <f t="shared" si="83"/>
        <v>#DIV/0!</v>
      </c>
      <c r="F122" s="2" t="e">
        <f t="shared" si="83"/>
        <v>#DIV/0!</v>
      </c>
      <c r="G122" s="2" t="e">
        <f t="shared" si="83"/>
        <v>#DIV/0!</v>
      </c>
      <c r="H122" s="2" t="e">
        <f t="shared" si="83"/>
        <v>#DIV/0!</v>
      </c>
      <c r="I122" s="2" t="e">
        <f t="shared" si="83"/>
        <v>#DIV/0!</v>
      </c>
      <c r="J122" s="2" t="e">
        <f t="shared" si="83"/>
        <v>#DIV/0!</v>
      </c>
      <c r="K122" s="2" t="e">
        <f t="shared" si="83"/>
        <v>#DIV/0!</v>
      </c>
      <c r="L122" s="2" t="e">
        <f t="shared" si="83"/>
        <v>#DIV/0!</v>
      </c>
      <c r="M122" s="2" t="e">
        <f t="shared" si="83"/>
        <v>#DIV/0!</v>
      </c>
      <c r="N122" s="2" t="e">
        <f t="shared" si="83"/>
        <v>#DIV/0!</v>
      </c>
      <c r="O122" s="2" t="e">
        <f t="shared" si="83"/>
        <v>#DIV/0!</v>
      </c>
      <c r="P122" s="2" t="e">
        <f t="shared" si="83"/>
        <v>#DIV/0!</v>
      </c>
      <c r="Q122" s="2" t="e">
        <f t="shared" si="83"/>
        <v>#DIV/0!</v>
      </c>
    </row>
    <row r="123" spans="2:17" x14ac:dyDescent="0.25">
      <c r="B123" s="3" t="s">
        <v>62</v>
      </c>
      <c r="C123" s="3" t="s">
        <v>30</v>
      </c>
      <c r="D123" s="2" t="e">
        <f>D122+D$72</f>
        <v>#DIV/0!</v>
      </c>
      <c r="E123" s="2" t="e">
        <f>E122+E$72</f>
        <v>#DIV/0!</v>
      </c>
      <c r="F123" s="2" t="e">
        <f t="shared" ref="F123:Q123" si="84">F122+F$72</f>
        <v>#DIV/0!</v>
      </c>
      <c r="G123" s="2" t="e">
        <f t="shared" si="84"/>
        <v>#DIV/0!</v>
      </c>
      <c r="H123" s="2" t="e">
        <f t="shared" si="84"/>
        <v>#DIV/0!</v>
      </c>
      <c r="I123" s="2" t="e">
        <f t="shared" si="84"/>
        <v>#DIV/0!</v>
      </c>
      <c r="J123" s="2" t="e">
        <f t="shared" si="84"/>
        <v>#DIV/0!</v>
      </c>
      <c r="K123" s="2" t="e">
        <f t="shared" si="84"/>
        <v>#DIV/0!</v>
      </c>
      <c r="L123" s="2" t="e">
        <f t="shared" si="84"/>
        <v>#DIV/0!</v>
      </c>
      <c r="M123" s="2" t="e">
        <f t="shared" si="84"/>
        <v>#DIV/0!</v>
      </c>
      <c r="N123" s="2" t="e">
        <f t="shared" si="84"/>
        <v>#DIV/0!</v>
      </c>
      <c r="O123" s="2" t="e">
        <f t="shared" si="84"/>
        <v>#DIV/0!</v>
      </c>
      <c r="P123" s="2" t="e">
        <f t="shared" si="84"/>
        <v>#DIV/0!</v>
      </c>
      <c r="Q123" s="2" t="e">
        <f t="shared" si="84"/>
        <v>#DIV/0!</v>
      </c>
    </row>
    <row r="124" spans="2:17" x14ac:dyDescent="0.25">
      <c r="B124" s="3" t="s">
        <v>62</v>
      </c>
      <c r="C124" s="3" t="s">
        <v>43</v>
      </c>
      <c r="D124" s="2" t="e">
        <f t="shared" ref="D124:Q124" si="85">D123*EXP(-D$18/($D$13*0.7)*12)</f>
        <v>#DIV/0!</v>
      </c>
      <c r="E124" s="2" t="e">
        <f t="shared" si="85"/>
        <v>#DIV/0!</v>
      </c>
      <c r="F124" s="2" t="e">
        <f t="shared" si="85"/>
        <v>#DIV/0!</v>
      </c>
      <c r="G124" s="2" t="e">
        <f t="shared" si="85"/>
        <v>#DIV/0!</v>
      </c>
      <c r="H124" s="2" t="e">
        <f t="shared" si="85"/>
        <v>#DIV/0!</v>
      </c>
      <c r="I124" s="2" t="e">
        <f t="shared" si="85"/>
        <v>#DIV/0!</v>
      </c>
      <c r="J124" s="2" t="e">
        <f t="shared" si="85"/>
        <v>#DIV/0!</v>
      </c>
      <c r="K124" s="2" t="e">
        <f t="shared" si="85"/>
        <v>#DIV/0!</v>
      </c>
      <c r="L124" s="2" t="e">
        <f t="shared" si="85"/>
        <v>#DIV/0!</v>
      </c>
      <c r="M124" s="2" t="e">
        <f t="shared" si="85"/>
        <v>#DIV/0!</v>
      </c>
      <c r="N124" s="2" t="e">
        <f t="shared" si="85"/>
        <v>#DIV/0!</v>
      </c>
      <c r="O124" s="2" t="e">
        <f t="shared" si="85"/>
        <v>#DIV/0!</v>
      </c>
      <c r="P124" s="2" t="e">
        <f t="shared" si="85"/>
        <v>#DIV/0!</v>
      </c>
      <c r="Q124" s="2" t="e">
        <f t="shared" si="85"/>
        <v>#DIV/0!</v>
      </c>
    </row>
    <row r="125" spans="2:17" x14ac:dyDescent="0.25">
      <c r="B125" s="3" t="s">
        <v>63</v>
      </c>
      <c r="C125" s="3" t="s">
        <v>47</v>
      </c>
      <c r="D125" s="2" t="e">
        <f t="shared" ref="D125:Q125" si="86">D123*EXP(-D$18/(0.7*$D$13)*$C$71)</f>
        <v>#DIV/0!</v>
      </c>
      <c r="E125" s="2" t="e">
        <f t="shared" si="86"/>
        <v>#DIV/0!</v>
      </c>
      <c r="F125" s="2" t="e">
        <f t="shared" si="86"/>
        <v>#DIV/0!</v>
      </c>
      <c r="G125" s="2" t="e">
        <f t="shared" si="86"/>
        <v>#DIV/0!</v>
      </c>
      <c r="H125" s="2" t="e">
        <f t="shared" si="86"/>
        <v>#DIV/0!</v>
      </c>
      <c r="I125" s="2" t="e">
        <f t="shared" si="86"/>
        <v>#DIV/0!</v>
      </c>
      <c r="J125" s="2" t="e">
        <f t="shared" si="86"/>
        <v>#DIV/0!</v>
      </c>
      <c r="K125" s="2" t="e">
        <f t="shared" si="86"/>
        <v>#DIV/0!</v>
      </c>
      <c r="L125" s="2" t="e">
        <f t="shared" si="86"/>
        <v>#DIV/0!</v>
      </c>
      <c r="M125" s="2" t="e">
        <f t="shared" si="86"/>
        <v>#DIV/0!</v>
      </c>
      <c r="N125" s="2" t="e">
        <f t="shared" si="86"/>
        <v>#DIV/0!</v>
      </c>
      <c r="O125" s="2" t="e">
        <f t="shared" si="86"/>
        <v>#DIV/0!</v>
      </c>
      <c r="P125" s="2" t="e">
        <f t="shared" si="86"/>
        <v>#DIV/0!</v>
      </c>
      <c r="Q125" s="2" t="e">
        <f t="shared" si="86"/>
        <v>#DIV/0!</v>
      </c>
    </row>
    <row r="126" spans="2:17" x14ac:dyDescent="0.25">
      <c r="B126" s="3" t="s">
        <v>63</v>
      </c>
      <c r="C126" s="3" t="s">
        <v>30</v>
      </c>
      <c r="D126" s="2" t="e">
        <f>D125+D$72</f>
        <v>#DIV/0!</v>
      </c>
      <c r="E126" s="2" t="e">
        <f>E125+E$72</f>
        <v>#DIV/0!</v>
      </c>
      <c r="F126" s="2" t="e">
        <f t="shared" ref="F126:Q126" si="87">F125+F$72</f>
        <v>#DIV/0!</v>
      </c>
      <c r="G126" s="2" t="e">
        <f t="shared" si="87"/>
        <v>#DIV/0!</v>
      </c>
      <c r="H126" s="2" t="e">
        <f t="shared" si="87"/>
        <v>#DIV/0!</v>
      </c>
      <c r="I126" s="2" t="e">
        <f t="shared" si="87"/>
        <v>#DIV/0!</v>
      </c>
      <c r="J126" s="2" t="e">
        <f t="shared" si="87"/>
        <v>#DIV/0!</v>
      </c>
      <c r="K126" s="2" t="e">
        <f t="shared" si="87"/>
        <v>#DIV/0!</v>
      </c>
      <c r="L126" s="2" t="e">
        <f t="shared" si="87"/>
        <v>#DIV/0!</v>
      </c>
      <c r="M126" s="2" t="e">
        <f t="shared" si="87"/>
        <v>#DIV/0!</v>
      </c>
      <c r="N126" s="2" t="e">
        <f t="shared" si="87"/>
        <v>#DIV/0!</v>
      </c>
      <c r="O126" s="2" t="e">
        <f t="shared" si="87"/>
        <v>#DIV/0!</v>
      </c>
      <c r="P126" s="2" t="e">
        <f t="shared" si="87"/>
        <v>#DIV/0!</v>
      </c>
      <c r="Q126" s="2" t="e">
        <f t="shared" si="87"/>
        <v>#DIV/0!</v>
      </c>
    </row>
    <row r="127" spans="2:17" x14ac:dyDescent="0.25">
      <c r="B127" s="3" t="s">
        <v>63</v>
      </c>
      <c r="C127" s="3" t="s">
        <v>43</v>
      </c>
      <c r="D127" s="2" t="e">
        <f t="shared" ref="D127:Q127" si="88">D126*EXP(-D$18/($D$13*0.7)*12)</f>
        <v>#DIV/0!</v>
      </c>
      <c r="E127" s="2" t="e">
        <f t="shared" si="88"/>
        <v>#DIV/0!</v>
      </c>
      <c r="F127" s="2" t="e">
        <f t="shared" si="88"/>
        <v>#DIV/0!</v>
      </c>
      <c r="G127" s="2" t="e">
        <f t="shared" si="88"/>
        <v>#DIV/0!</v>
      </c>
      <c r="H127" s="2" t="e">
        <f t="shared" si="88"/>
        <v>#DIV/0!</v>
      </c>
      <c r="I127" s="2" t="e">
        <f t="shared" si="88"/>
        <v>#DIV/0!</v>
      </c>
      <c r="J127" s="2" t="e">
        <f t="shared" si="88"/>
        <v>#DIV/0!</v>
      </c>
      <c r="K127" s="2" t="e">
        <f t="shared" si="88"/>
        <v>#DIV/0!</v>
      </c>
      <c r="L127" s="2" t="e">
        <f t="shared" si="88"/>
        <v>#DIV/0!</v>
      </c>
      <c r="M127" s="2" t="e">
        <f t="shared" si="88"/>
        <v>#DIV/0!</v>
      </c>
      <c r="N127" s="2" t="e">
        <f t="shared" si="88"/>
        <v>#DIV/0!</v>
      </c>
      <c r="O127" s="2" t="e">
        <f t="shared" si="88"/>
        <v>#DIV/0!</v>
      </c>
      <c r="P127" s="2" t="e">
        <f t="shared" si="88"/>
        <v>#DIV/0!</v>
      </c>
      <c r="Q127" s="2" t="e">
        <f t="shared" si="88"/>
        <v>#DIV/0!</v>
      </c>
    </row>
    <row r="128" spans="2:17" x14ac:dyDescent="0.25">
      <c r="B128" s="3" t="s">
        <v>64</v>
      </c>
      <c r="C128" s="3" t="s">
        <v>47</v>
      </c>
      <c r="D128" s="2" t="e">
        <f t="shared" ref="D128:Q128" si="89">D126*EXP(-D$18/(0.7*$D$13)*$C$71)</f>
        <v>#DIV/0!</v>
      </c>
      <c r="E128" s="2" t="e">
        <f t="shared" si="89"/>
        <v>#DIV/0!</v>
      </c>
      <c r="F128" s="2" t="e">
        <f t="shared" si="89"/>
        <v>#DIV/0!</v>
      </c>
      <c r="G128" s="2" t="e">
        <f t="shared" si="89"/>
        <v>#DIV/0!</v>
      </c>
      <c r="H128" s="2" t="e">
        <f t="shared" si="89"/>
        <v>#DIV/0!</v>
      </c>
      <c r="I128" s="2" t="e">
        <f t="shared" si="89"/>
        <v>#DIV/0!</v>
      </c>
      <c r="J128" s="2" t="e">
        <f t="shared" si="89"/>
        <v>#DIV/0!</v>
      </c>
      <c r="K128" s="2" t="e">
        <f t="shared" si="89"/>
        <v>#DIV/0!</v>
      </c>
      <c r="L128" s="2" t="e">
        <f t="shared" si="89"/>
        <v>#DIV/0!</v>
      </c>
      <c r="M128" s="2" t="e">
        <f t="shared" si="89"/>
        <v>#DIV/0!</v>
      </c>
      <c r="N128" s="2" t="e">
        <f t="shared" si="89"/>
        <v>#DIV/0!</v>
      </c>
      <c r="O128" s="2" t="e">
        <f t="shared" si="89"/>
        <v>#DIV/0!</v>
      </c>
      <c r="P128" s="2" t="e">
        <f t="shared" si="89"/>
        <v>#DIV/0!</v>
      </c>
      <c r="Q128" s="2" t="e">
        <f t="shared" si="89"/>
        <v>#DIV/0!</v>
      </c>
    </row>
    <row r="129" spans="2:17" x14ac:dyDescent="0.25">
      <c r="B129" s="3" t="s">
        <v>64</v>
      </c>
      <c r="C129" s="3" t="s">
        <v>30</v>
      </c>
      <c r="D129" s="2" t="e">
        <f>D128+D$72</f>
        <v>#DIV/0!</v>
      </c>
      <c r="E129" s="2" t="e">
        <f>E128+E$72</f>
        <v>#DIV/0!</v>
      </c>
      <c r="F129" s="2" t="e">
        <f t="shared" ref="F129:Q129" si="90">F128+F$72</f>
        <v>#DIV/0!</v>
      </c>
      <c r="G129" s="2" t="e">
        <f t="shared" si="90"/>
        <v>#DIV/0!</v>
      </c>
      <c r="H129" s="2" t="e">
        <f t="shared" si="90"/>
        <v>#DIV/0!</v>
      </c>
      <c r="I129" s="2" t="e">
        <f t="shared" si="90"/>
        <v>#DIV/0!</v>
      </c>
      <c r="J129" s="2" t="e">
        <f t="shared" si="90"/>
        <v>#DIV/0!</v>
      </c>
      <c r="K129" s="2" t="e">
        <f t="shared" si="90"/>
        <v>#DIV/0!</v>
      </c>
      <c r="L129" s="2" t="e">
        <f t="shared" si="90"/>
        <v>#DIV/0!</v>
      </c>
      <c r="M129" s="2" t="e">
        <f t="shared" si="90"/>
        <v>#DIV/0!</v>
      </c>
      <c r="N129" s="2" t="e">
        <f t="shared" si="90"/>
        <v>#DIV/0!</v>
      </c>
      <c r="O129" s="2" t="e">
        <f t="shared" si="90"/>
        <v>#DIV/0!</v>
      </c>
      <c r="P129" s="2" t="e">
        <f t="shared" si="90"/>
        <v>#DIV/0!</v>
      </c>
      <c r="Q129" s="2" t="e">
        <f t="shared" si="90"/>
        <v>#DIV/0!</v>
      </c>
    </row>
    <row r="130" spans="2:17" x14ac:dyDescent="0.25">
      <c r="B130" s="3" t="s">
        <v>64</v>
      </c>
      <c r="C130" s="3" t="s">
        <v>43</v>
      </c>
      <c r="D130" s="2" t="e">
        <f t="shared" ref="D130:Q130" si="91">D129*EXP(-D$18/($D$13*0.7)*12)</f>
        <v>#DIV/0!</v>
      </c>
      <c r="E130" s="2" t="e">
        <f t="shared" si="91"/>
        <v>#DIV/0!</v>
      </c>
      <c r="F130" s="2" t="e">
        <f t="shared" si="91"/>
        <v>#DIV/0!</v>
      </c>
      <c r="G130" s="2" t="e">
        <f t="shared" si="91"/>
        <v>#DIV/0!</v>
      </c>
      <c r="H130" s="2" t="e">
        <f t="shared" si="91"/>
        <v>#DIV/0!</v>
      </c>
      <c r="I130" s="2" t="e">
        <f t="shared" si="91"/>
        <v>#DIV/0!</v>
      </c>
      <c r="J130" s="2" t="e">
        <f t="shared" si="91"/>
        <v>#DIV/0!</v>
      </c>
      <c r="K130" s="2" t="e">
        <f t="shared" si="91"/>
        <v>#DIV/0!</v>
      </c>
      <c r="L130" s="2" t="e">
        <f t="shared" si="91"/>
        <v>#DIV/0!</v>
      </c>
      <c r="M130" s="2" t="e">
        <f t="shared" si="91"/>
        <v>#DIV/0!</v>
      </c>
      <c r="N130" s="2" t="e">
        <f t="shared" si="91"/>
        <v>#DIV/0!</v>
      </c>
      <c r="O130" s="2" t="e">
        <f t="shared" si="91"/>
        <v>#DIV/0!</v>
      </c>
      <c r="P130" s="2" t="e">
        <f t="shared" si="91"/>
        <v>#DIV/0!</v>
      </c>
      <c r="Q130" s="2" t="e">
        <f t="shared" si="91"/>
        <v>#DIV/0!</v>
      </c>
    </row>
    <row r="131" spans="2:17" x14ac:dyDescent="0.25">
      <c r="B131" s="3" t="s">
        <v>65</v>
      </c>
      <c r="C131" s="3" t="s">
        <v>47</v>
      </c>
      <c r="D131" s="2" t="e">
        <f t="shared" ref="D131:Q131" si="92">D129*EXP(-D$18/(0.7*$D$13)*$C$71)</f>
        <v>#DIV/0!</v>
      </c>
      <c r="E131" s="2" t="e">
        <f t="shared" si="92"/>
        <v>#DIV/0!</v>
      </c>
      <c r="F131" s="2" t="e">
        <f t="shared" si="92"/>
        <v>#DIV/0!</v>
      </c>
      <c r="G131" s="2" t="e">
        <f t="shared" si="92"/>
        <v>#DIV/0!</v>
      </c>
      <c r="H131" s="2" t="e">
        <f t="shared" si="92"/>
        <v>#DIV/0!</v>
      </c>
      <c r="I131" s="2" t="e">
        <f t="shared" si="92"/>
        <v>#DIV/0!</v>
      </c>
      <c r="J131" s="2" t="e">
        <f t="shared" si="92"/>
        <v>#DIV/0!</v>
      </c>
      <c r="K131" s="2" t="e">
        <f t="shared" si="92"/>
        <v>#DIV/0!</v>
      </c>
      <c r="L131" s="2" t="e">
        <f t="shared" si="92"/>
        <v>#DIV/0!</v>
      </c>
      <c r="M131" s="2" t="e">
        <f t="shared" si="92"/>
        <v>#DIV/0!</v>
      </c>
      <c r="N131" s="2" t="e">
        <f t="shared" si="92"/>
        <v>#DIV/0!</v>
      </c>
      <c r="O131" s="2" t="e">
        <f t="shared" si="92"/>
        <v>#DIV/0!</v>
      </c>
      <c r="P131" s="2" t="e">
        <f t="shared" si="92"/>
        <v>#DIV/0!</v>
      </c>
      <c r="Q131" s="2" t="e">
        <f t="shared" si="92"/>
        <v>#DIV/0!</v>
      </c>
    </row>
    <row r="132" spans="2:17" x14ac:dyDescent="0.25">
      <c r="B132" s="3" t="s">
        <v>65</v>
      </c>
      <c r="C132" s="3" t="s">
        <v>30</v>
      </c>
      <c r="D132" s="2" t="e">
        <f>D131+D$72</f>
        <v>#DIV/0!</v>
      </c>
      <c r="E132" s="2" t="e">
        <f>E131+E$72</f>
        <v>#DIV/0!</v>
      </c>
      <c r="F132" s="2" t="e">
        <f t="shared" ref="F132:Q132" si="93">F131+F$72</f>
        <v>#DIV/0!</v>
      </c>
      <c r="G132" s="2" t="e">
        <f t="shared" si="93"/>
        <v>#DIV/0!</v>
      </c>
      <c r="H132" s="2" t="e">
        <f t="shared" si="93"/>
        <v>#DIV/0!</v>
      </c>
      <c r="I132" s="2" t="e">
        <f t="shared" si="93"/>
        <v>#DIV/0!</v>
      </c>
      <c r="J132" s="2" t="e">
        <f t="shared" si="93"/>
        <v>#DIV/0!</v>
      </c>
      <c r="K132" s="2" t="e">
        <f t="shared" si="93"/>
        <v>#DIV/0!</v>
      </c>
      <c r="L132" s="2" t="e">
        <f t="shared" si="93"/>
        <v>#DIV/0!</v>
      </c>
      <c r="M132" s="2" t="e">
        <f t="shared" si="93"/>
        <v>#DIV/0!</v>
      </c>
      <c r="N132" s="2" t="e">
        <f t="shared" si="93"/>
        <v>#DIV/0!</v>
      </c>
      <c r="O132" s="2" t="e">
        <f t="shared" si="93"/>
        <v>#DIV/0!</v>
      </c>
      <c r="P132" s="2" t="e">
        <f t="shared" si="93"/>
        <v>#DIV/0!</v>
      </c>
      <c r="Q132" s="2" t="e">
        <f t="shared" si="93"/>
        <v>#DIV/0!</v>
      </c>
    </row>
    <row r="133" spans="2:17" x14ac:dyDescent="0.25">
      <c r="H133" s="3" t="s">
        <v>66</v>
      </c>
    </row>
  </sheetData>
  <sheetProtection algorithmName="SHA-512" hashValue="iuRAD4F4PFJzaadoM4FttQSc4DGQZhK9ZVM7BWV3SYwpUo+AYvh4zlSybNaeRUlFSg8vprboZMqep1R01j8h5w==" saltValue="xVu2Lu+mnLdIDaANDkjh/w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5A1E41-839C-4E6A-9CBE-03474B17D992}">
          <x14:formula1>
            <xm:f>ParameterSelection!$B$2:$B$3</xm:f>
          </x14:formula1>
          <xm:sqref>D15</xm:sqref>
        </x14:dataValidation>
        <x14:dataValidation type="list" allowBlank="1" showInputMessage="1" showErrorMessage="1" xr:uid="{CF834A63-892C-4F73-95FB-D9963D5FD0E9}">
          <x14:formula1>
            <xm:f>ParameterSelection!$D$2:$D$3</xm:f>
          </x14:formula1>
          <xm:sqref>D9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6BF6F-B1E3-4462-9ABC-E264258AC07E}">
  <dimension ref="B1:AD63"/>
  <sheetViews>
    <sheetView topLeftCell="B1" workbookViewId="0">
      <selection activeCell="D63" sqref="D63"/>
    </sheetView>
  </sheetViews>
  <sheetFormatPr defaultRowHeight="15" x14ac:dyDescent="0.25"/>
  <cols>
    <col min="3" max="3" width="26" bestFit="1" customWidth="1"/>
    <col min="4" max="4" width="12" bestFit="1" customWidth="1"/>
    <col min="6" max="6" width="10.140625" customWidth="1"/>
    <col min="9" max="9" width="10" customWidth="1"/>
    <col min="10" max="10" width="10.42578125" customWidth="1"/>
    <col min="11" max="11" width="10.7109375" customWidth="1"/>
    <col min="12" max="12" width="10.85546875" customWidth="1"/>
    <col min="14" max="15" width="9.85546875" customWidth="1"/>
    <col min="16" max="16" width="10.28515625" customWidth="1"/>
    <col min="17" max="18" width="10.42578125" customWidth="1"/>
    <col min="19" max="19" width="10.28515625" customWidth="1"/>
    <col min="23" max="23" width="28.28515625" bestFit="1" customWidth="1"/>
    <col min="26" max="26" width="11.140625" customWidth="1"/>
    <col min="30" max="30" width="10.28515625" customWidth="1"/>
  </cols>
  <sheetData>
    <row r="1" spans="2:16" x14ac:dyDescent="0.25">
      <c r="B1" t="s">
        <v>77</v>
      </c>
    </row>
    <row r="2" spans="2:16" x14ac:dyDescent="0.25">
      <c r="C2" t="s">
        <v>73</v>
      </c>
      <c r="D2">
        <v>120</v>
      </c>
      <c r="E2">
        <v>110</v>
      </c>
      <c r="F2">
        <v>100</v>
      </c>
      <c r="G2">
        <v>90</v>
      </c>
      <c r="H2">
        <v>80</v>
      </c>
      <c r="I2">
        <v>70</v>
      </c>
      <c r="J2">
        <v>60</v>
      </c>
      <c r="K2">
        <v>50</v>
      </c>
      <c r="L2">
        <v>40</v>
      </c>
      <c r="M2">
        <v>30</v>
      </c>
      <c r="N2">
        <v>20</v>
      </c>
      <c r="O2">
        <v>10</v>
      </c>
      <c r="P2">
        <v>5</v>
      </c>
    </row>
    <row r="3" spans="2:16" x14ac:dyDescent="0.25">
      <c r="C3" t="s">
        <v>74</v>
      </c>
      <c r="D3">
        <f>0.235*0.06*D2</f>
        <v>1.6919999999999997</v>
      </c>
      <c r="E3">
        <f t="shared" ref="E3:P3" si="0">0.235*0.06*E2</f>
        <v>1.5509999999999997</v>
      </c>
      <c r="F3">
        <f t="shared" si="0"/>
        <v>1.4099999999999997</v>
      </c>
      <c r="G3">
        <f t="shared" si="0"/>
        <v>1.2689999999999999</v>
      </c>
      <c r="H3">
        <f t="shared" si="0"/>
        <v>1.1279999999999999</v>
      </c>
      <c r="I3">
        <f t="shared" si="0"/>
        <v>0.98699999999999988</v>
      </c>
      <c r="J3">
        <f t="shared" si="0"/>
        <v>0.84599999999999986</v>
      </c>
      <c r="K3">
        <f t="shared" si="0"/>
        <v>0.70499999999999985</v>
      </c>
      <c r="L3">
        <f t="shared" si="0"/>
        <v>0.56399999999999995</v>
      </c>
      <c r="M3">
        <f t="shared" si="0"/>
        <v>0.42299999999999993</v>
      </c>
      <c r="N3">
        <f t="shared" si="0"/>
        <v>0.28199999999999997</v>
      </c>
      <c r="O3">
        <f t="shared" si="0"/>
        <v>0.14099999999999999</v>
      </c>
      <c r="P3">
        <f t="shared" si="0"/>
        <v>7.0499999999999993E-2</v>
      </c>
    </row>
    <row r="4" spans="2:16" x14ac:dyDescent="0.25">
      <c r="C4" t="s">
        <v>75</v>
      </c>
      <c r="D4" s="15">
        <f>24/(1-0.95*(1-D2/100))</f>
        <v>20.168067226890756</v>
      </c>
      <c r="E4" s="15">
        <f t="shared" ref="E4:P4" si="1">24/(1-0.95*(1-E2/100))</f>
        <v>21.917808219178077</v>
      </c>
      <c r="F4" s="15">
        <f t="shared" si="1"/>
        <v>24</v>
      </c>
      <c r="G4" s="15">
        <f t="shared" si="1"/>
        <v>26.519337016574585</v>
      </c>
      <c r="H4" s="15">
        <f t="shared" si="1"/>
        <v>29.629629629629626</v>
      </c>
      <c r="I4" s="15">
        <f t="shared" si="1"/>
        <v>33.566433566433567</v>
      </c>
      <c r="J4" s="15">
        <f t="shared" si="1"/>
        <v>38.70967741935484</v>
      </c>
      <c r="K4" s="15">
        <f t="shared" si="1"/>
        <v>45.714285714285715</v>
      </c>
      <c r="L4" s="15">
        <f t="shared" si="1"/>
        <v>55.813953488372086</v>
      </c>
      <c r="M4" s="15">
        <f t="shared" si="1"/>
        <v>71.641791044776099</v>
      </c>
      <c r="N4" s="15">
        <f t="shared" si="1"/>
        <v>100</v>
      </c>
      <c r="O4" s="15">
        <f t="shared" si="1"/>
        <v>165.51724137931032</v>
      </c>
      <c r="P4" s="15">
        <f t="shared" si="1"/>
        <v>246.15384615384608</v>
      </c>
    </row>
    <row r="5" spans="2:16" x14ac:dyDescent="0.25">
      <c r="C5" t="s">
        <v>76</v>
      </c>
      <c r="D5">
        <f>D3/(0.693/D4)</f>
        <v>49.241514787733273</v>
      </c>
      <c r="E5">
        <f t="shared" ref="E5:P5" si="2">E3/(0.693/E4)</f>
        <v>49.054142204827123</v>
      </c>
      <c r="F5">
        <f t="shared" si="2"/>
        <v>48.831168831168824</v>
      </c>
      <c r="G5">
        <f t="shared" si="2"/>
        <v>48.561383368013203</v>
      </c>
      <c r="H5">
        <f t="shared" si="2"/>
        <v>48.228314894981558</v>
      </c>
      <c r="I5">
        <f t="shared" si="2"/>
        <v>47.806738715829624</v>
      </c>
      <c r="J5">
        <f t="shared" si="2"/>
        <v>47.255969836614995</v>
      </c>
      <c r="K5">
        <f t="shared" si="2"/>
        <v>46.505875077303642</v>
      </c>
      <c r="L5">
        <f t="shared" si="2"/>
        <v>45.424343098761696</v>
      </c>
      <c r="M5">
        <f t="shared" si="2"/>
        <v>43.729404923434757</v>
      </c>
      <c r="N5">
        <f t="shared" si="2"/>
        <v>40.692640692640694</v>
      </c>
      <c r="O5">
        <f t="shared" si="2"/>
        <v>33.676668159426775</v>
      </c>
      <c r="P5">
        <f t="shared" si="2"/>
        <v>25.041625041625036</v>
      </c>
    </row>
    <row r="6" spans="2:16" x14ac:dyDescent="0.25">
      <c r="D6" t="s">
        <v>78</v>
      </c>
    </row>
    <row r="7" spans="2:16" x14ac:dyDescent="0.25">
      <c r="D7" t="s">
        <v>83</v>
      </c>
    </row>
    <row r="9" spans="2:16" x14ac:dyDescent="0.25">
      <c r="B9" t="s">
        <v>79</v>
      </c>
    </row>
    <row r="10" spans="2:16" x14ac:dyDescent="0.25">
      <c r="B10" t="s">
        <v>80</v>
      </c>
    </row>
    <row r="11" spans="2:16" x14ac:dyDescent="0.25">
      <c r="C11" t="s">
        <v>74</v>
      </c>
      <c r="D11">
        <f>0.0093*70+0.0885*D2*0.06</f>
        <v>1.2881999999999998</v>
      </c>
      <c r="E11">
        <f t="shared" ref="E11:P11" si="3">0.0093*70+0.0885*E2*0.06</f>
        <v>1.2350999999999999</v>
      </c>
      <c r="F11">
        <f t="shared" si="3"/>
        <v>1.1819999999999999</v>
      </c>
      <c r="G11">
        <f t="shared" si="3"/>
        <v>1.1288999999999998</v>
      </c>
      <c r="H11">
        <f t="shared" si="3"/>
        <v>1.0757999999999999</v>
      </c>
      <c r="I11">
        <f t="shared" si="3"/>
        <v>1.0226999999999999</v>
      </c>
      <c r="J11">
        <f t="shared" si="3"/>
        <v>0.9695999999999998</v>
      </c>
      <c r="K11">
        <f t="shared" si="3"/>
        <v>0.91649999999999987</v>
      </c>
      <c r="L11">
        <f t="shared" si="3"/>
        <v>0.86339999999999995</v>
      </c>
      <c r="M11">
        <f t="shared" si="3"/>
        <v>0.81029999999999991</v>
      </c>
      <c r="N11">
        <f t="shared" si="3"/>
        <v>0.75719999999999987</v>
      </c>
      <c r="O11">
        <f t="shared" si="3"/>
        <v>0.70409999999999995</v>
      </c>
      <c r="P11">
        <f t="shared" si="3"/>
        <v>0.67754999999999987</v>
      </c>
    </row>
    <row r="12" spans="2:16" x14ac:dyDescent="0.25">
      <c r="C12" t="s">
        <v>76</v>
      </c>
      <c r="D12">
        <f>0.7*70</f>
        <v>49</v>
      </c>
      <c r="E12">
        <f t="shared" ref="E12:P12" si="4">0.7*70</f>
        <v>49</v>
      </c>
      <c r="F12">
        <f t="shared" si="4"/>
        <v>49</v>
      </c>
      <c r="G12">
        <f t="shared" si="4"/>
        <v>49</v>
      </c>
      <c r="H12">
        <f t="shared" si="4"/>
        <v>49</v>
      </c>
      <c r="I12">
        <f t="shared" si="4"/>
        <v>49</v>
      </c>
      <c r="J12">
        <f t="shared" si="4"/>
        <v>49</v>
      </c>
      <c r="K12">
        <f t="shared" si="4"/>
        <v>49</v>
      </c>
      <c r="L12">
        <f t="shared" si="4"/>
        <v>49</v>
      </c>
      <c r="M12">
        <f t="shared" si="4"/>
        <v>49</v>
      </c>
      <c r="N12">
        <f t="shared" si="4"/>
        <v>49</v>
      </c>
      <c r="O12">
        <f t="shared" si="4"/>
        <v>49</v>
      </c>
      <c r="P12">
        <f t="shared" si="4"/>
        <v>49</v>
      </c>
    </row>
    <row r="13" spans="2:16" x14ac:dyDescent="0.25">
      <c r="C13" t="s">
        <v>75</v>
      </c>
      <c r="D13" s="15">
        <f>0.693/(D11/D12)</f>
        <v>26.360037261294835</v>
      </c>
      <c r="E13" s="15">
        <f t="shared" ref="E13:P13" si="5">0.693/(E11/E12)</f>
        <v>27.493320378916685</v>
      </c>
      <c r="F13" s="15">
        <f t="shared" si="5"/>
        <v>28.728426395939085</v>
      </c>
      <c r="G13" s="15">
        <f t="shared" si="5"/>
        <v>30.079723624767475</v>
      </c>
      <c r="H13" s="15">
        <f t="shared" si="5"/>
        <v>31.564417177914113</v>
      </c>
      <c r="I13" s="15">
        <f t="shared" si="5"/>
        <v>33.20328542094456</v>
      </c>
      <c r="J13" s="15">
        <f t="shared" si="5"/>
        <v>35.021658415841593</v>
      </c>
      <c r="K13" s="15">
        <f t="shared" si="5"/>
        <v>37.05073649754501</v>
      </c>
      <c r="L13" s="15">
        <f t="shared" si="5"/>
        <v>39.329395413481585</v>
      </c>
      <c r="M13" s="15">
        <f t="shared" si="5"/>
        <v>41.906701221769715</v>
      </c>
      <c r="N13" s="15">
        <f t="shared" si="5"/>
        <v>44.845483359746439</v>
      </c>
      <c r="O13" s="15">
        <f t="shared" si="5"/>
        <v>48.227524499360889</v>
      </c>
      <c r="P13" s="15">
        <f t="shared" si="5"/>
        <v>50.117334514058008</v>
      </c>
    </row>
    <row r="15" spans="2:16" x14ac:dyDescent="0.25">
      <c r="B15" t="s">
        <v>81</v>
      </c>
    </row>
    <row r="16" spans="2:16" x14ac:dyDescent="0.25">
      <c r="C16" t="s">
        <v>74</v>
      </c>
      <c r="D16">
        <f>0.25*D2*60/1000</f>
        <v>1.8</v>
      </c>
      <c r="E16">
        <f t="shared" ref="E16:P16" si="6">0.25*E2*60/1000</f>
        <v>1.65</v>
      </c>
      <c r="F16">
        <f t="shared" si="6"/>
        <v>1.5</v>
      </c>
      <c r="G16">
        <f t="shared" si="6"/>
        <v>1.35</v>
      </c>
      <c r="H16">
        <f t="shared" si="6"/>
        <v>1.2</v>
      </c>
      <c r="I16">
        <f t="shared" si="6"/>
        <v>1.05</v>
      </c>
      <c r="J16">
        <f t="shared" si="6"/>
        <v>0.9</v>
      </c>
      <c r="K16">
        <f t="shared" si="6"/>
        <v>0.75</v>
      </c>
      <c r="L16">
        <f t="shared" si="6"/>
        <v>0.6</v>
      </c>
      <c r="M16">
        <f t="shared" si="6"/>
        <v>0.45</v>
      </c>
      <c r="N16">
        <f t="shared" si="6"/>
        <v>0.3</v>
      </c>
      <c r="O16">
        <f t="shared" si="6"/>
        <v>0.15</v>
      </c>
      <c r="P16">
        <f t="shared" si="6"/>
        <v>7.4999999999999997E-2</v>
      </c>
    </row>
    <row r="17" spans="3:30" x14ac:dyDescent="0.25">
      <c r="C17" t="s">
        <v>76</v>
      </c>
      <c r="D17">
        <f>0.7*70</f>
        <v>49</v>
      </c>
      <c r="E17">
        <f t="shared" ref="E17:P17" si="7">0.7*70</f>
        <v>49</v>
      </c>
      <c r="F17">
        <f t="shared" si="7"/>
        <v>49</v>
      </c>
      <c r="G17">
        <f t="shared" si="7"/>
        <v>49</v>
      </c>
      <c r="H17">
        <f t="shared" si="7"/>
        <v>49</v>
      </c>
      <c r="I17">
        <f t="shared" si="7"/>
        <v>49</v>
      </c>
      <c r="J17">
        <f t="shared" si="7"/>
        <v>49</v>
      </c>
      <c r="K17">
        <f t="shared" si="7"/>
        <v>49</v>
      </c>
      <c r="L17">
        <f t="shared" si="7"/>
        <v>49</v>
      </c>
      <c r="M17">
        <f t="shared" si="7"/>
        <v>49</v>
      </c>
      <c r="N17">
        <f t="shared" si="7"/>
        <v>49</v>
      </c>
      <c r="O17">
        <f t="shared" si="7"/>
        <v>49</v>
      </c>
      <c r="P17">
        <f t="shared" si="7"/>
        <v>49</v>
      </c>
    </row>
    <row r="18" spans="3:30" x14ac:dyDescent="0.25">
      <c r="C18" t="s">
        <v>75</v>
      </c>
      <c r="D18">
        <f>0.693/(D16/D17)</f>
        <v>18.864999999999998</v>
      </c>
      <c r="E18">
        <f t="shared" ref="E18:P18" si="8">0.693/(E16/E17)</f>
        <v>20.58</v>
      </c>
      <c r="F18">
        <f t="shared" si="8"/>
        <v>22.637999999999998</v>
      </c>
      <c r="G18">
        <f t="shared" si="8"/>
        <v>25.153333333333332</v>
      </c>
      <c r="H18">
        <f t="shared" si="8"/>
        <v>28.297499999999999</v>
      </c>
      <c r="I18">
        <f t="shared" si="8"/>
        <v>32.339999999999996</v>
      </c>
      <c r="J18">
        <f t="shared" si="8"/>
        <v>37.729999999999997</v>
      </c>
      <c r="K18">
        <f t="shared" si="8"/>
        <v>45.275999999999996</v>
      </c>
      <c r="L18">
        <f t="shared" si="8"/>
        <v>56.594999999999999</v>
      </c>
      <c r="M18">
        <f t="shared" si="8"/>
        <v>75.459999999999994</v>
      </c>
      <c r="N18">
        <f t="shared" si="8"/>
        <v>113.19</v>
      </c>
      <c r="O18">
        <f t="shared" si="8"/>
        <v>226.38</v>
      </c>
      <c r="P18">
        <f t="shared" si="8"/>
        <v>452.76</v>
      </c>
    </row>
    <row r="22" spans="3:30" ht="60" x14ac:dyDescent="0.25">
      <c r="D22" t="s">
        <v>69</v>
      </c>
      <c r="E22" s="16" t="s">
        <v>99</v>
      </c>
      <c r="F22" s="16" t="s">
        <v>100</v>
      </c>
      <c r="G22" s="16" t="s">
        <v>101</v>
      </c>
      <c r="H22" s="16" t="s">
        <v>102</v>
      </c>
      <c r="I22" s="16" t="s">
        <v>103</v>
      </c>
      <c r="J22" s="16" t="s">
        <v>104</v>
      </c>
      <c r="K22" s="16" t="s">
        <v>89</v>
      </c>
      <c r="L22" s="16" t="s">
        <v>105</v>
      </c>
      <c r="M22" s="16" t="s">
        <v>90</v>
      </c>
      <c r="N22" s="16" t="s">
        <v>91</v>
      </c>
      <c r="O22" s="16" t="s">
        <v>86</v>
      </c>
      <c r="P22" s="16" t="s">
        <v>87</v>
      </c>
      <c r="Q22" s="16" t="s">
        <v>88</v>
      </c>
      <c r="R22" s="16" t="s">
        <v>110</v>
      </c>
      <c r="S22" s="16" t="s">
        <v>92</v>
      </c>
      <c r="T22" s="16" t="s">
        <v>109</v>
      </c>
      <c r="U22" s="16" t="s">
        <v>106</v>
      </c>
      <c r="V22" s="16" t="s">
        <v>107</v>
      </c>
      <c r="W22" s="16" t="s">
        <v>108</v>
      </c>
      <c r="X22" s="16" t="s">
        <v>93</v>
      </c>
      <c r="Y22" s="16" t="s">
        <v>94</v>
      </c>
      <c r="Z22" s="16" t="s">
        <v>97</v>
      </c>
      <c r="AA22" s="16" t="s">
        <v>95</v>
      </c>
      <c r="AB22" s="16" t="s">
        <v>111</v>
      </c>
      <c r="AC22" s="16" t="s">
        <v>112</v>
      </c>
      <c r="AD22" s="16" t="s">
        <v>96</v>
      </c>
    </row>
    <row r="23" spans="3:30" x14ac:dyDescent="0.25">
      <c r="D23" t="s">
        <v>84</v>
      </c>
      <c r="E23">
        <v>1.75</v>
      </c>
      <c r="F23">
        <f>E23*100/2.54</f>
        <v>68.897637795275585</v>
      </c>
      <c r="G23">
        <f>(F23-60)*2.3+50</f>
        <v>70.464566929133838</v>
      </c>
      <c r="H23">
        <v>31</v>
      </c>
      <c r="I23">
        <v>0.87</v>
      </c>
      <c r="J23">
        <f>(140-H23)*G23/(72*I23)</f>
        <v>122.61554590158985</v>
      </c>
      <c r="K23">
        <f>0.25*J23</f>
        <v>30.653886475397464</v>
      </c>
      <c r="L23">
        <f>0.7*G23</f>
        <v>49.325196850393681</v>
      </c>
      <c r="M23">
        <f>(K23*60/1000)/L23</f>
        <v>3.7287903667214017E-2</v>
      </c>
      <c r="N23">
        <f>0.693/(24/(1-0.95*(1-J23/100)))</f>
        <v>3.5078726935129867E-2</v>
      </c>
      <c r="O23">
        <f t="shared" ref="O23:O35" si="9">0.235*J23</f>
        <v>28.814653286873614</v>
      </c>
      <c r="P23">
        <v>1950</v>
      </c>
      <c r="Q23">
        <f t="shared" ref="Q23:Q35" si="10">(P23*8.12/(2*300))*EXP(-M23*12)/(L23*(1-EXP(-M23*12)))</f>
        <v>0.94807078441218862</v>
      </c>
      <c r="R23">
        <f>Q23-T23</f>
        <v>0.11473745107885525</v>
      </c>
      <c r="S23">
        <f>(P23*8.12/(2*300))*EXP(-N23*12)/(L23*(1-EXP(-N23*12)))</f>
        <v>1.0222021470584295</v>
      </c>
      <c r="T23">
        <f>AVERAGE(U23:W23)</f>
        <v>0.83333333333333337</v>
      </c>
      <c r="U23">
        <v>0.8</v>
      </c>
      <c r="V23">
        <v>0.9</v>
      </c>
      <c r="W23">
        <v>0.8</v>
      </c>
      <c r="X23">
        <f>(T23-Q23)^2</f>
        <v>1.31646826800727E-2</v>
      </c>
      <c r="Y23">
        <f>(P23*8.12/(300*2))*EXP(-AC$23*J23*0.06*12/(AB$23*G23))/(AB$23*G23*(1-EXP((-AC$23*J23*0.06*12)/(AB$23*G23))))</f>
        <v>0.69325986267668271</v>
      </c>
      <c r="Z23">
        <f>Y23-T23</f>
        <v>-0.14007347065665066</v>
      </c>
      <c r="AA23">
        <f>(Y23-T23)^2</f>
        <v>1.9620577181799572E-2</v>
      </c>
      <c r="AB23">
        <v>0.7</v>
      </c>
      <c r="AC23">
        <v>0.31956611273920427</v>
      </c>
      <c r="AD23">
        <v>0</v>
      </c>
    </row>
    <row r="24" spans="3:30" x14ac:dyDescent="0.25">
      <c r="D24" t="s">
        <v>84</v>
      </c>
      <c r="E24">
        <v>1.78</v>
      </c>
      <c r="F24">
        <f t="shared" ref="F24:F35" si="11">E24*100/2.54</f>
        <v>70.078740157480311</v>
      </c>
      <c r="G24">
        <f t="shared" ref="G24:G29" si="12">(F24-60)*2.3+50</f>
        <v>73.181102362204712</v>
      </c>
      <c r="H24">
        <v>43</v>
      </c>
      <c r="I24">
        <v>0.87</v>
      </c>
      <c r="J24">
        <f t="shared" ref="J24:J29" si="13">(140-H24)*G24/(72*I24)</f>
        <v>113.32322683802454</v>
      </c>
      <c r="K24">
        <f t="shared" ref="K24:K35" si="14">0.25*J24</f>
        <v>28.330806709506135</v>
      </c>
      <c r="L24">
        <f t="shared" ref="L24:L35" si="15">0.7*G24</f>
        <v>51.226771653543295</v>
      </c>
      <c r="M24">
        <f t="shared" ref="M24:M35" si="16">(K24*60/1000)/L24</f>
        <v>3.3182813355227152E-2</v>
      </c>
      <c r="N24">
        <f t="shared" ref="N24:N35" si="17">0.693/(24/(1-0.95*(1-J24/100)))</f>
        <v>3.2529727662005604E-2</v>
      </c>
      <c r="O24">
        <f t="shared" si="9"/>
        <v>26.630958306935764</v>
      </c>
      <c r="P24">
        <v>1650</v>
      </c>
      <c r="Q24">
        <f t="shared" si="10"/>
        <v>0.89117949061814272</v>
      </c>
      <c r="R24">
        <f t="shared" ref="R24:R35" si="18">Q24-T24</f>
        <v>9.1179490618142789E-2</v>
      </c>
      <c r="S24">
        <f t="shared" ref="S24:S35" si="19">(P24*8.12/(2*300))*EXP(-N24*12)/(L24*(1-EXP(-N24*12)))</f>
        <v>0.91287494887681619</v>
      </c>
      <c r="T24">
        <f t="shared" ref="T24:T35" si="20">AVERAGE(U24:W24)</f>
        <v>0.79999999999999993</v>
      </c>
      <c r="U24">
        <v>0.7</v>
      </c>
      <c r="V24">
        <v>0.8</v>
      </c>
      <c r="W24">
        <v>0.9</v>
      </c>
      <c r="X24">
        <f t="shared" ref="X24:X35" si="21">(T24-Q24)^2</f>
        <v>8.3136995093839889E-3</v>
      </c>
      <c r="Y24">
        <f t="shared" ref="Y24:Y35" si="22">(P24*8.12/(300*2))*EXP(-AC$23*J24*0.06*12/(AB$23*G24))/(AB$23*G24*(1-EXP((-AC$23*J24*0.06*12)/(AB$23*G24))))</f>
        <v>0.65685756427580322</v>
      </c>
      <c r="Z24">
        <f t="shared" ref="Z24:Z35" si="23">Y24-T24</f>
        <v>-0.14314243572419671</v>
      </c>
      <c r="AA24">
        <f t="shared" ref="AA24:AA35" si="24">(Y24-T24)^2</f>
        <v>2.0489756905055789E-2</v>
      </c>
    </row>
    <row r="25" spans="3:30" x14ac:dyDescent="0.25">
      <c r="D25" t="s">
        <v>84</v>
      </c>
      <c r="E25">
        <v>1.75</v>
      </c>
      <c r="F25">
        <f t="shared" si="11"/>
        <v>68.897637795275585</v>
      </c>
      <c r="G25">
        <f t="shared" si="12"/>
        <v>70.464566929133838</v>
      </c>
      <c r="H25">
        <v>18</v>
      </c>
      <c r="I25">
        <v>0.99</v>
      </c>
      <c r="J25">
        <f t="shared" si="13"/>
        <v>120.60433733662076</v>
      </c>
      <c r="K25">
        <f t="shared" si="14"/>
        <v>30.15108433415519</v>
      </c>
      <c r="L25">
        <f t="shared" si="15"/>
        <v>49.325196850393681</v>
      </c>
      <c r="M25">
        <f t="shared" si="16"/>
        <v>3.6676286676286682E-2</v>
      </c>
      <c r="N25">
        <f t="shared" si="17"/>
        <v>3.4527027285651768E-2</v>
      </c>
      <c r="O25">
        <f t="shared" si="9"/>
        <v>28.342019274105876</v>
      </c>
      <c r="P25">
        <v>1950</v>
      </c>
      <c r="Q25">
        <f t="shared" si="10"/>
        <v>0.96768631226867241</v>
      </c>
      <c r="R25">
        <f t="shared" si="18"/>
        <v>-9.8980354397994241E-2</v>
      </c>
      <c r="S25">
        <f t="shared" si="19"/>
        <v>1.0422185550014618</v>
      </c>
      <c r="T25">
        <f t="shared" si="20"/>
        <v>1.0666666666666667</v>
      </c>
      <c r="U25">
        <v>1.1000000000000001</v>
      </c>
      <c r="V25">
        <v>1.2</v>
      </c>
      <c r="W25">
        <v>0.9</v>
      </c>
      <c r="X25">
        <f t="shared" si="21"/>
        <v>9.7971105567525377E-3</v>
      </c>
      <c r="Y25">
        <f t="shared" si="22"/>
        <v>0.70844715487372079</v>
      </c>
      <c r="Z25">
        <f t="shared" si="23"/>
        <v>-0.35821951179294587</v>
      </c>
      <c r="AA25">
        <f t="shared" si="24"/>
        <v>0.12832121862917648</v>
      </c>
    </row>
    <row r="26" spans="3:30" x14ac:dyDescent="0.25">
      <c r="D26" t="s">
        <v>84</v>
      </c>
      <c r="E26">
        <v>1.75</v>
      </c>
      <c r="F26">
        <f t="shared" si="11"/>
        <v>68.897637795275585</v>
      </c>
      <c r="G26">
        <f t="shared" si="12"/>
        <v>70.464566929133838</v>
      </c>
      <c r="H26">
        <v>38</v>
      </c>
      <c r="I26">
        <v>0.95</v>
      </c>
      <c r="J26">
        <f t="shared" si="13"/>
        <v>105.0787401574803</v>
      </c>
      <c r="K26">
        <f t="shared" si="14"/>
        <v>26.269685039370074</v>
      </c>
      <c r="L26">
        <f t="shared" si="15"/>
        <v>49.325196850393681</v>
      </c>
      <c r="M26">
        <f t="shared" si="16"/>
        <v>3.1954887218045125E-2</v>
      </c>
      <c r="N26">
        <f t="shared" si="17"/>
        <v>3.026816190944881E-2</v>
      </c>
      <c r="O26">
        <f t="shared" si="9"/>
        <v>24.693503937007868</v>
      </c>
      <c r="P26">
        <v>1500</v>
      </c>
      <c r="Q26">
        <f t="shared" si="10"/>
        <v>0.88061109739016341</v>
      </c>
      <c r="R26">
        <f t="shared" si="18"/>
        <v>0.34727776405683008</v>
      </c>
      <c r="S26">
        <f t="shared" si="19"/>
        <v>0.93973079216025091</v>
      </c>
      <c r="T26">
        <f t="shared" si="20"/>
        <v>0.53333333333333333</v>
      </c>
      <c r="U26">
        <v>0.7</v>
      </c>
      <c r="V26">
        <v>0.4</v>
      </c>
      <c r="W26">
        <v>0.5</v>
      </c>
      <c r="X26">
        <f t="shared" si="21"/>
        <v>0.12060184540831134</v>
      </c>
      <c r="Y26">
        <f t="shared" si="22"/>
        <v>0.65059659586079055</v>
      </c>
      <c r="Z26">
        <f t="shared" si="23"/>
        <v>0.11726326252745722</v>
      </c>
      <c r="AA26">
        <f t="shared" si="24"/>
        <v>1.3750672738583353E-2</v>
      </c>
    </row>
    <row r="27" spans="3:30" x14ac:dyDescent="0.25">
      <c r="D27" t="s">
        <v>84</v>
      </c>
      <c r="E27">
        <v>1.69</v>
      </c>
      <c r="F27">
        <f t="shared" si="11"/>
        <v>66.535433070866148</v>
      </c>
      <c r="G27">
        <f t="shared" si="12"/>
        <v>65.031496062992133</v>
      </c>
      <c r="H27">
        <v>23</v>
      </c>
      <c r="I27">
        <v>0.88</v>
      </c>
      <c r="J27">
        <f t="shared" si="13"/>
        <v>120.08656943450252</v>
      </c>
      <c r="K27">
        <f t="shared" si="14"/>
        <v>30.02164235862563</v>
      </c>
      <c r="L27">
        <f t="shared" si="15"/>
        <v>45.522047244094487</v>
      </c>
      <c r="M27">
        <f t="shared" si="16"/>
        <v>3.9569805194805199E-2</v>
      </c>
      <c r="N27">
        <f t="shared" si="17"/>
        <v>3.4384997078001973E-2</v>
      </c>
      <c r="O27">
        <f t="shared" si="9"/>
        <v>28.220343817108091</v>
      </c>
      <c r="P27">
        <v>1800</v>
      </c>
      <c r="Q27">
        <f t="shared" si="10"/>
        <v>0.88049777068714219</v>
      </c>
      <c r="R27">
        <f t="shared" si="18"/>
        <v>0.13049777068714219</v>
      </c>
      <c r="S27">
        <f t="shared" si="19"/>
        <v>1.0476819510124216</v>
      </c>
      <c r="T27">
        <f t="shared" si="20"/>
        <v>0.75</v>
      </c>
      <c r="U27">
        <v>1.1000000000000001</v>
      </c>
      <c r="V27">
        <v>0.6</v>
      </c>
      <c r="W27">
        <v>0.55000000000000004</v>
      </c>
      <c r="X27">
        <f t="shared" si="21"/>
        <v>1.7029668154313948E-2</v>
      </c>
      <c r="Y27">
        <f t="shared" si="22"/>
        <v>0.64097622667404663</v>
      </c>
      <c r="Z27">
        <f t="shared" si="23"/>
        <v>-0.10902377332595337</v>
      </c>
      <c r="AA27">
        <f t="shared" si="24"/>
        <v>1.188618315022886E-2</v>
      </c>
    </row>
    <row r="28" spans="3:30" x14ac:dyDescent="0.25">
      <c r="D28" t="s">
        <v>84</v>
      </c>
      <c r="E28">
        <v>1.73</v>
      </c>
      <c r="F28">
        <f t="shared" si="11"/>
        <v>68.110236220472444</v>
      </c>
      <c r="G28">
        <f t="shared" si="12"/>
        <v>68.653543307086622</v>
      </c>
      <c r="H28">
        <v>31</v>
      </c>
      <c r="I28">
        <v>0.89</v>
      </c>
      <c r="J28">
        <f t="shared" si="13"/>
        <v>116.77959145556244</v>
      </c>
      <c r="K28">
        <f t="shared" si="14"/>
        <v>29.19489786389061</v>
      </c>
      <c r="L28">
        <f t="shared" si="15"/>
        <v>48.057480314960635</v>
      </c>
      <c r="M28">
        <f t="shared" si="16"/>
        <v>3.6449973247726052E-2</v>
      </c>
      <c r="N28">
        <f t="shared" si="17"/>
        <v>3.3477851681153969E-2</v>
      </c>
      <c r="O28">
        <f t="shared" si="9"/>
        <v>27.443203992057171</v>
      </c>
      <c r="P28">
        <v>1800</v>
      </c>
      <c r="Q28">
        <f t="shared" si="10"/>
        <v>0.92384938353872603</v>
      </c>
      <c r="R28">
        <f t="shared" si="18"/>
        <v>0.4371827168720594</v>
      </c>
      <c r="S28">
        <f t="shared" si="19"/>
        <v>1.0252397690042505</v>
      </c>
      <c r="T28">
        <f t="shared" si="20"/>
        <v>0.48666666666666664</v>
      </c>
      <c r="U28">
        <v>0.49</v>
      </c>
      <c r="V28">
        <v>0.43</v>
      </c>
      <c r="W28">
        <v>0.54</v>
      </c>
      <c r="X28">
        <f t="shared" si="21"/>
        <v>0.19112872793163524</v>
      </c>
      <c r="Y28">
        <f t="shared" si="22"/>
        <v>0.67665180378321943</v>
      </c>
      <c r="Z28">
        <f t="shared" si="23"/>
        <v>0.18998513711655279</v>
      </c>
      <c r="AA28">
        <f t="shared" si="24"/>
        <v>3.6094352325195367E-2</v>
      </c>
    </row>
    <row r="29" spans="3:30" x14ac:dyDescent="0.25">
      <c r="D29" t="s">
        <v>84</v>
      </c>
      <c r="E29">
        <v>1.72</v>
      </c>
      <c r="F29">
        <f t="shared" si="11"/>
        <v>67.71653543307086</v>
      </c>
      <c r="G29">
        <f t="shared" si="12"/>
        <v>67.748031496062978</v>
      </c>
      <c r="H29">
        <v>34</v>
      </c>
      <c r="I29">
        <v>1.03</v>
      </c>
      <c r="J29">
        <f t="shared" si="13"/>
        <v>96.835104349820341</v>
      </c>
      <c r="K29">
        <f t="shared" si="14"/>
        <v>24.208776087455085</v>
      </c>
      <c r="L29">
        <f t="shared" si="15"/>
        <v>47.423622047244081</v>
      </c>
      <c r="M29">
        <f t="shared" si="16"/>
        <v>3.0628756356911705E-2</v>
      </c>
      <c r="N29">
        <f t="shared" si="17"/>
        <v>2.8006829561960093E-2</v>
      </c>
      <c r="O29">
        <f t="shared" si="9"/>
        <v>22.756249522207778</v>
      </c>
      <c r="P29">
        <v>1350</v>
      </c>
      <c r="Q29">
        <f t="shared" si="10"/>
        <v>0.86732135623082729</v>
      </c>
      <c r="R29">
        <f t="shared" si="18"/>
        <v>0.17065468956416063</v>
      </c>
      <c r="S29">
        <f t="shared" si="19"/>
        <v>0.96444477662813177</v>
      </c>
      <c r="T29">
        <f t="shared" si="20"/>
        <v>0.69666666666666666</v>
      </c>
      <c r="U29">
        <v>0.74</v>
      </c>
      <c r="V29">
        <v>0.71</v>
      </c>
      <c r="W29">
        <v>0.64</v>
      </c>
      <c r="X29">
        <f t="shared" si="21"/>
        <v>2.9123023070240037E-2</v>
      </c>
      <c r="Y29">
        <f t="shared" si="22"/>
        <v>0.64239995069646549</v>
      </c>
      <c r="Z29">
        <f t="shared" si="23"/>
        <v>-5.4266715970201163E-2</v>
      </c>
      <c r="AA29">
        <f t="shared" si="24"/>
        <v>2.9448764621904859E-3</v>
      </c>
    </row>
    <row r="30" spans="3:30" x14ac:dyDescent="0.25">
      <c r="D30" t="s">
        <v>85</v>
      </c>
      <c r="E30">
        <v>1.7</v>
      </c>
      <c r="F30">
        <f t="shared" si="11"/>
        <v>66.929133858267718</v>
      </c>
      <c r="G30">
        <f t="shared" ref="G30:G35" si="25">(F30-60)*2.3+ 45.5</f>
        <v>61.437007874015748</v>
      </c>
      <c r="H30">
        <v>29</v>
      </c>
      <c r="I30">
        <v>0.87</v>
      </c>
      <c r="J30">
        <f t="shared" ref="J30:J35" si="26">0.85*(140-H30)*G30/(72*I30)</f>
        <v>92.538021917518918</v>
      </c>
      <c r="K30">
        <f t="shared" si="14"/>
        <v>23.13450547937973</v>
      </c>
      <c r="L30">
        <f t="shared" si="15"/>
        <v>43.005905511811022</v>
      </c>
      <c r="M30">
        <f t="shared" si="16"/>
        <v>3.2276272577996708E-2</v>
      </c>
      <c r="N30">
        <f t="shared" si="17"/>
        <v>2.6828086137249411E-2</v>
      </c>
      <c r="O30">
        <f t="shared" si="9"/>
        <v>21.746435150616943</v>
      </c>
      <c r="P30">
        <v>1350</v>
      </c>
      <c r="Q30">
        <f t="shared" si="10"/>
        <v>0.89811137197971891</v>
      </c>
      <c r="R30">
        <f t="shared" si="18"/>
        <v>0.19811137197971884</v>
      </c>
      <c r="S30">
        <f t="shared" si="19"/>
        <v>1.1185564348946524</v>
      </c>
      <c r="T30">
        <f t="shared" si="20"/>
        <v>0.70000000000000007</v>
      </c>
      <c r="U30">
        <v>0.7</v>
      </c>
      <c r="V30">
        <v>0.8</v>
      </c>
      <c r="W30">
        <v>0.6</v>
      </c>
      <c r="X30">
        <f t="shared" si="21"/>
        <v>3.9248115707686528E-2</v>
      </c>
      <c r="Y30">
        <f t="shared" si="22"/>
        <v>0.66311814774834721</v>
      </c>
      <c r="Z30">
        <f t="shared" si="23"/>
        <v>-3.6881852251652858E-2</v>
      </c>
      <c r="AA30">
        <f t="shared" si="24"/>
        <v>1.3602710255127509E-3</v>
      </c>
    </row>
    <row r="31" spans="3:30" x14ac:dyDescent="0.25">
      <c r="D31" t="s">
        <v>85</v>
      </c>
      <c r="E31">
        <v>1.74</v>
      </c>
      <c r="F31">
        <f t="shared" si="11"/>
        <v>68.503937007874015</v>
      </c>
      <c r="G31">
        <f t="shared" si="25"/>
        <v>65.059055118110237</v>
      </c>
      <c r="H31">
        <v>20</v>
      </c>
      <c r="I31">
        <v>0.79</v>
      </c>
      <c r="J31">
        <f t="shared" si="26"/>
        <v>116.6670819628559</v>
      </c>
      <c r="K31">
        <f t="shared" si="14"/>
        <v>29.166770490713976</v>
      </c>
      <c r="L31">
        <f t="shared" si="15"/>
        <v>45.541338582677163</v>
      </c>
      <c r="M31">
        <f t="shared" si="16"/>
        <v>3.8426763110307412E-2</v>
      </c>
      <c r="N31">
        <f t="shared" si="17"/>
        <v>3.3446988920935908E-2</v>
      </c>
      <c r="O31">
        <f t="shared" si="9"/>
        <v>27.416764261271137</v>
      </c>
      <c r="P31">
        <v>1800</v>
      </c>
      <c r="Q31">
        <f t="shared" si="10"/>
        <v>0.91302849928290353</v>
      </c>
      <c r="R31">
        <f t="shared" si="18"/>
        <v>0.38969516594957021</v>
      </c>
      <c r="S31">
        <f t="shared" si="19"/>
        <v>1.0830961019748129</v>
      </c>
      <c r="T31">
        <f t="shared" si="20"/>
        <v>0.52333333333333332</v>
      </c>
      <c r="U31">
        <v>0.5</v>
      </c>
      <c r="V31">
        <v>0.42</v>
      </c>
      <c r="W31">
        <v>0.65</v>
      </c>
      <c r="X31">
        <f t="shared" si="21"/>
        <v>0.15186232236446306</v>
      </c>
      <c r="Y31">
        <f t="shared" si="22"/>
        <v>0.66615099637957975</v>
      </c>
      <c r="Z31">
        <f t="shared" si="23"/>
        <v>0.14281766304624643</v>
      </c>
      <c r="AA31">
        <f t="shared" si="24"/>
        <v>2.0396884877991184E-2</v>
      </c>
    </row>
    <row r="32" spans="3:30" x14ac:dyDescent="0.25">
      <c r="D32" t="s">
        <v>85</v>
      </c>
      <c r="E32">
        <v>1.6</v>
      </c>
      <c r="F32">
        <f t="shared" si="11"/>
        <v>62.99212598425197</v>
      </c>
      <c r="G32">
        <f t="shared" si="25"/>
        <v>52.381889763779533</v>
      </c>
      <c r="H32">
        <v>44</v>
      </c>
      <c r="I32">
        <v>0.74</v>
      </c>
      <c r="J32">
        <f t="shared" si="26"/>
        <v>80.224515854437115</v>
      </c>
      <c r="K32">
        <f t="shared" si="14"/>
        <v>20.056128963609279</v>
      </c>
      <c r="L32">
        <f t="shared" si="15"/>
        <v>36.667322834645674</v>
      </c>
      <c r="M32">
        <f t="shared" si="16"/>
        <v>3.2818532818532808E-2</v>
      </c>
      <c r="N32">
        <f t="shared" si="17"/>
        <v>2.345033750532028E-2</v>
      </c>
      <c r="O32">
        <f t="shared" si="9"/>
        <v>18.852761225792722</v>
      </c>
      <c r="P32">
        <v>1050</v>
      </c>
      <c r="Q32">
        <f t="shared" si="10"/>
        <v>0.8029603179025353</v>
      </c>
      <c r="R32">
        <f t="shared" si="18"/>
        <v>6.9626984569201911E-2</v>
      </c>
      <c r="S32">
        <f t="shared" si="19"/>
        <v>1.1924670962097768</v>
      </c>
      <c r="T32">
        <f t="shared" si="20"/>
        <v>0.73333333333333339</v>
      </c>
      <c r="U32">
        <v>0.77</v>
      </c>
      <c r="V32">
        <v>0.66</v>
      </c>
      <c r="W32">
        <v>0.77</v>
      </c>
      <c r="X32">
        <f t="shared" si="21"/>
        <v>4.8479169801998812E-3</v>
      </c>
      <c r="Y32">
        <f t="shared" si="22"/>
        <v>0.592248117459649</v>
      </c>
      <c r="Z32">
        <f t="shared" si="23"/>
        <v>-0.14108521587368439</v>
      </c>
      <c r="AA32">
        <f t="shared" si="24"/>
        <v>1.9905038138124127E-2</v>
      </c>
    </row>
    <row r="33" spans="4:27" x14ac:dyDescent="0.25">
      <c r="D33" t="s">
        <v>85</v>
      </c>
      <c r="E33">
        <v>1.57</v>
      </c>
      <c r="F33">
        <f t="shared" si="11"/>
        <v>61.811023622047244</v>
      </c>
      <c r="G33">
        <f t="shared" si="25"/>
        <v>49.665354330708659</v>
      </c>
      <c r="H33">
        <v>34</v>
      </c>
      <c r="I33">
        <v>0.66</v>
      </c>
      <c r="J33">
        <f t="shared" si="26"/>
        <v>94.167685715421925</v>
      </c>
      <c r="K33">
        <f t="shared" si="14"/>
        <v>23.541921428855481</v>
      </c>
      <c r="L33">
        <f t="shared" si="15"/>
        <v>34.765748031496059</v>
      </c>
      <c r="M33">
        <f t="shared" si="16"/>
        <v>4.0629509379509383E-2</v>
      </c>
      <c r="N33">
        <f t="shared" si="17"/>
        <v>2.7275123287811672E-2</v>
      </c>
      <c r="O33">
        <f t="shared" si="9"/>
        <v>22.12940614312415</v>
      </c>
      <c r="P33">
        <v>1350</v>
      </c>
      <c r="Q33">
        <f t="shared" si="10"/>
        <v>0.83637321397590847</v>
      </c>
      <c r="R33">
        <f t="shared" si="18"/>
        <v>0.21637321397590847</v>
      </c>
      <c r="S33">
        <f t="shared" si="19"/>
        <v>1.3571554680075539</v>
      </c>
      <c r="T33">
        <f t="shared" si="20"/>
        <v>0.62</v>
      </c>
      <c r="U33">
        <v>0.51</v>
      </c>
      <c r="V33">
        <v>0.59</v>
      </c>
      <c r="W33">
        <v>0.76</v>
      </c>
      <c r="X33">
        <f t="shared" si="21"/>
        <v>4.6817367726264277E-2</v>
      </c>
      <c r="Y33">
        <f t="shared" si="22"/>
        <v>0.60758411356756692</v>
      </c>
      <c r="Z33">
        <f t="shared" si="23"/>
        <v>-1.2415886432433076E-2</v>
      </c>
      <c r="AA33">
        <f t="shared" si="24"/>
        <v>1.5415423590307573E-4</v>
      </c>
    </row>
    <row r="34" spans="4:27" x14ac:dyDescent="0.25">
      <c r="D34" t="s">
        <v>85</v>
      </c>
      <c r="E34">
        <v>1.7</v>
      </c>
      <c r="F34">
        <f t="shared" si="11"/>
        <v>66.929133858267718</v>
      </c>
      <c r="G34">
        <f t="shared" si="25"/>
        <v>61.437007874015748</v>
      </c>
      <c r="H34">
        <v>36</v>
      </c>
      <c r="I34">
        <v>0.7</v>
      </c>
      <c r="J34">
        <f t="shared" si="26"/>
        <v>107.75856142982126</v>
      </c>
      <c r="K34">
        <f t="shared" si="14"/>
        <v>26.939640357455314</v>
      </c>
      <c r="L34">
        <f t="shared" si="15"/>
        <v>43.005905511811022</v>
      </c>
      <c r="M34">
        <f t="shared" si="16"/>
        <v>3.7585034013605439E-2</v>
      </c>
      <c r="N34">
        <f t="shared" si="17"/>
        <v>3.100327038221784E-2</v>
      </c>
      <c r="O34">
        <f t="shared" si="9"/>
        <v>25.323261936007995</v>
      </c>
      <c r="P34">
        <v>1650</v>
      </c>
      <c r="Q34">
        <f t="shared" si="10"/>
        <v>0.91107015178872064</v>
      </c>
      <c r="R34">
        <f t="shared" si="18"/>
        <v>0.20773681845538716</v>
      </c>
      <c r="S34">
        <f t="shared" si="19"/>
        <v>1.152080403816691</v>
      </c>
      <c r="T34">
        <f t="shared" si="20"/>
        <v>0.70333333333333348</v>
      </c>
      <c r="U34">
        <v>0.81</v>
      </c>
      <c r="V34">
        <v>0.55000000000000004</v>
      </c>
      <c r="W34">
        <v>0.75</v>
      </c>
      <c r="X34">
        <f t="shared" si="21"/>
        <v>4.3154585741966484E-2</v>
      </c>
      <c r="Y34">
        <f t="shared" si="22"/>
        <v>0.66581754691653172</v>
      </c>
      <c r="Z34">
        <f t="shared" si="23"/>
        <v>-3.7515786416801755E-2</v>
      </c>
      <c r="AA34">
        <f t="shared" si="24"/>
        <v>1.407434230471087E-3</v>
      </c>
    </row>
    <row r="35" spans="4:27" x14ac:dyDescent="0.25">
      <c r="D35" t="s">
        <v>85</v>
      </c>
      <c r="E35">
        <v>1.64</v>
      </c>
      <c r="F35">
        <f t="shared" si="11"/>
        <v>64.566929133858267</v>
      </c>
      <c r="G35">
        <f t="shared" si="25"/>
        <v>56.003937007874015</v>
      </c>
      <c r="H35">
        <v>43</v>
      </c>
      <c r="I35">
        <v>0.77</v>
      </c>
      <c r="J35">
        <f t="shared" si="26"/>
        <v>83.28868337480543</v>
      </c>
      <c r="K35">
        <f t="shared" si="14"/>
        <v>20.822170843701358</v>
      </c>
      <c r="L35">
        <f t="shared" si="15"/>
        <v>39.202755905511808</v>
      </c>
      <c r="M35">
        <f t="shared" si="16"/>
        <v>3.1868429189857765E-2</v>
      </c>
      <c r="N35">
        <f t="shared" si="17"/>
        <v>2.4290876958251311E-2</v>
      </c>
      <c r="O35">
        <f t="shared" si="9"/>
        <v>19.572840593079274</v>
      </c>
      <c r="P35">
        <v>1200</v>
      </c>
      <c r="Q35">
        <f t="shared" si="10"/>
        <v>0.88928841484572085</v>
      </c>
      <c r="R35">
        <f t="shared" si="18"/>
        <v>0.25262174817905414</v>
      </c>
      <c r="S35">
        <f t="shared" si="19"/>
        <v>1.2240867199651633</v>
      </c>
      <c r="T35">
        <f t="shared" si="20"/>
        <v>0.63666666666666671</v>
      </c>
      <c r="U35">
        <v>0.7</v>
      </c>
      <c r="V35">
        <v>0.61</v>
      </c>
      <c r="W35">
        <v>0.6</v>
      </c>
      <c r="X35">
        <f t="shared" si="21"/>
        <v>6.3817747653041448E-2</v>
      </c>
      <c r="Y35">
        <f t="shared" si="22"/>
        <v>0.65711595841433701</v>
      </c>
      <c r="Z35">
        <f t="shared" si="23"/>
        <v>2.0449291747670295E-2</v>
      </c>
      <c r="AA35">
        <f t="shared" si="24"/>
        <v>4.1817353298133646E-4</v>
      </c>
    </row>
    <row r="37" spans="4:27" x14ac:dyDescent="0.25">
      <c r="W37" t="s">
        <v>113</v>
      </c>
      <c r="X37">
        <f>SUM(X23:X35)</f>
        <v>0.73890681348433163</v>
      </c>
      <c r="AA37">
        <f>SUM(AA23:AA35)</f>
        <v>0.27674959343321348</v>
      </c>
    </row>
    <row r="38" spans="4:27" x14ac:dyDescent="0.25">
      <c r="Q38" t="s">
        <v>98</v>
      </c>
      <c r="R38">
        <f>AVERAGE(R23:R35)</f>
        <v>0.19436267935292595</v>
      </c>
      <c r="Y38" t="s">
        <v>98</v>
      </c>
      <c r="Z38">
        <f>AVERAGE(Z23:Z35)</f>
        <v>-4.3239176462045628E-2</v>
      </c>
    </row>
    <row r="54" spans="2:16" ht="30" x14ac:dyDescent="0.25">
      <c r="C54" s="16" t="s">
        <v>116</v>
      </c>
      <c r="D54">
        <v>600</v>
      </c>
    </row>
    <row r="55" spans="2:16" x14ac:dyDescent="0.25">
      <c r="C55" t="s">
        <v>115</v>
      </c>
      <c r="D55">
        <v>56.6</v>
      </c>
    </row>
    <row r="56" spans="2:16" x14ac:dyDescent="0.25">
      <c r="B56" t="s">
        <v>117</v>
      </c>
    </row>
    <row r="57" spans="2:16" x14ac:dyDescent="0.25">
      <c r="C57" t="s">
        <v>114</v>
      </c>
      <c r="D57">
        <v>129</v>
      </c>
      <c r="E57">
        <v>110</v>
      </c>
      <c r="F57">
        <v>100</v>
      </c>
      <c r="G57">
        <v>90</v>
      </c>
      <c r="H57">
        <v>80</v>
      </c>
      <c r="I57">
        <v>70</v>
      </c>
      <c r="J57">
        <v>60</v>
      </c>
      <c r="K57">
        <v>50</v>
      </c>
      <c r="L57">
        <v>40</v>
      </c>
      <c r="M57">
        <v>30</v>
      </c>
      <c r="N57">
        <v>20</v>
      </c>
      <c r="O57">
        <v>10</v>
      </c>
      <c r="P57">
        <v>5</v>
      </c>
    </row>
    <row r="58" spans="2:16" x14ac:dyDescent="0.25">
      <c r="C58" t="s">
        <v>74</v>
      </c>
      <c r="D58">
        <f>0.25*60/1000*D57</f>
        <v>1.9349999999999998</v>
      </c>
      <c r="E58">
        <f t="shared" ref="E58:P58" si="27">0.25*60/1000*E57</f>
        <v>1.65</v>
      </c>
      <c r="F58">
        <f t="shared" si="27"/>
        <v>1.5</v>
      </c>
      <c r="G58">
        <f t="shared" si="27"/>
        <v>1.3499999999999999</v>
      </c>
      <c r="H58">
        <f t="shared" si="27"/>
        <v>1.2</v>
      </c>
      <c r="I58">
        <f t="shared" si="27"/>
        <v>1.05</v>
      </c>
      <c r="J58">
        <f t="shared" si="27"/>
        <v>0.89999999999999991</v>
      </c>
      <c r="K58">
        <f t="shared" si="27"/>
        <v>0.75</v>
      </c>
      <c r="L58">
        <f t="shared" si="27"/>
        <v>0.6</v>
      </c>
      <c r="M58">
        <f t="shared" si="27"/>
        <v>0.44999999999999996</v>
      </c>
      <c r="N58">
        <f t="shared" si="27"/>
        <v>0.3</v>
      </c>
      <c r="O58">
        <f t="shared" si="27"/>
        <v>0.15</v>
      </c>
      <c r="P58">
        <f t="shared" si="27"/>
        <v>7.4999999999999997E-2</v>
      </c>
    </row>
    <row r="59" spans="2:16" x14ac:dyDescent="0.25">
      <c r="C59" t="s">
        <v>76</v>
      </c>
      <c r="D59">
        <f>0.7*$D55</f>
        <v>39.619999999999997</v>
      </c>
      <c r="E59">
        <f t="shared" ref="E59:P59" si="28">0.7*$D55</f>
        <v>39.619999999999997</v>
      </c>
      <c r="F59">
        <f t="shared" si="28"/>
        <v>39.619999999999997</v>
      </c>
      <c r="G59">
        <f t="shared" si="28"/>
        <v>39.619999999999997</v>
      </c>
      <c r="H59">
        <f t="shared" si="28"/>
        <v>39.619999999999997</v>
      </c>
      <c r="I59">
        <f t="shared" si="28"/>
        <v>39.619999999999997</v>
      </c>
      <c r="J59">
        <f t="shared" si="28"/>
        <v>39.619999999999997</v>
      </c>
      <c r="K59">
        <f t="shared" si="28"/>
        <v>39.619999999999997</v>
      </c>
      <c r="L59">
        <f t="shared" si="28"/>
        <v>39.619999999999997</v>
      </c>
      <c r="M59">
        <f t="shared" si="28"/>
        <v>39.619999999999997</v>
      </c>
      <c r="N59">
        <f t="shared" si="28"/>
        <v>39.619999999999997</v>
      </c>
      <c r="O59">
        <f t="shared" si="28"/>
        <v>39.619999999999997</v>
      </c>
      <c r="P59">
        <f t="shared" si="28"/>
        <v>39.619999999999997</v>
      </c>
    </row>
    <row r="60" spans="2:16" x14ac:dyDescent="0.25">
      <c r="C60" t="s">
        <v>118</v>
      </c>
      <c r="D60">
        <f>D58/D59</f>
        <v>4.8838970217062086E-2</v>
      </c>
      <c r="E60">
        <f t="shared" ref="E60:P60" si="29">E58/E59</f>
        <v>4.164563351842504E-2</v>
      </c>
      <c r="F60">
        <f t="shared" si="29"/>
        <v>3.7859666834931853E-2</v>
      </c>
      <c r="G60">
        <f t="shared" si="29"/>
        <v>3.4073700151438666E-2</v>
      </c>
      <c r="H60">
        <f t="shared" si="29"/>
        <v>3.0287733467945482E-2</v>
      </c>
      <c r="I60">
        <f t="shared" si="29"/>
        <v>2.6501766784452301E-2</v>
      </c>
      <c r="J60">
        <f t="shared" si="29"/>
        <v>2.271580010095911E-2</v>
      </c>
      <c r="K60">
        <f t="shared" si="29"/>
        <v>1.8929833417465926E-2</v>
      </c>
      <c r="L60">
        <f t="shared" si="29"/>
        <v>1.5143866733972741E-2</v>
      </c>
      <c r="M60">
        <f t="shared" si="29"/>
        <v>1.1357900050479555E-2</v>
      </c>
      <c r="N60">
        <f t="shared" si="29"/>
        <v>7.5719333669863704E-3</v>
      </c>
      <c r="O60">
        <f t="shared" si="29"/>
        <v>3.7859666834931852E-3</v>
      </c>
      <c r="P60">
        <f t="shared" si="29"/>
        <v>1.8929833417465926E-3</v>
      </c>
    </row>
    <row r="61" spans="2:16" x14ac:dyDescent="0.25">
      <c r="C61" t="s">
        <v>75</v>
      </c>
      <c r="D61">
        <f>0.693/(D58/D59)</f>
        <v>14.189488372093024</v>
      </c>
      <c r="E61">
        <f t="shared" ref="E61:P61" si="30">0.693/(E58/E59)</f>
        <v>16.640399999999996</v>
      </c>
      <c r="F61">
        <f t="shared" si="30"/>
        <v>18.30444</v>
      </c>
      <c r="G61">
        <f t="shared" si="30"/>
        <v>20.338266666666666</v>
      </c>
      <c r="H61">
        <f t="shared" si="30"/>
        <v>22.880549999999999</v>
      </c>
      <c r="I61">
        <f t="shared" si="30"/>
        <v>26.149199999999993</v>
      </c>
      <c r="J61">
        <f t="shared" si="30"/>
        <v>30.507400000000001</v>
      </c>
      <c r="K61">
        <f t="shared" si="30"/>
        <v>36.608879999999999</v>
      </c>
      <c r="L61">
        <f t="shared" si="30"/>
        <v>45.761099999999999</v>
      </c>
      <c r="M61">
        <f t="shared" si="30"/>
        <v>61.014800000000001</v>
      </c>
      <c r="N61">
        <f t="shared" si="30"/>
        <v>91.522199999999998</v>
      </c>
      <c r="O61">
        <f t="shared" si="30"/>
        <v>183.0444</v>
      </c>
      <c r="P61">
        <f t="shared" si="30"/>
        <v>366.08879999999999</v>
      </c>
    </row>
    <row r="62" spans="2:16" x14ac:dyDescent="0.25">
      <c r="C62" t="s">
        <v>119</v>
      </c>
      <c r="D62">
        <f>$D54*8.12/300*EXP(-(D60)*24)/D59</f>
        <v>0.12694618890205833</v>
      </c>
      <c r="E62">
        <f t="shared" ref="E62:P62" si="31">$D54*8.12/300*EXP(-(E60)*24)/E59</f>
        <v>0.15086771119138506</v>
      </c>
      <c r="F62">
        <f t="shared" si="31"/>
        <v>0.16521812464345248</v>
      </c>
      <c r="G62">
        <f t="shared" si="31"/>
        <v>0.1809335377009294</v>
      </c>
      <c r="H62">
        <f t="shared" si="31"/>
        <v>0.19814378801128091</v>
      </c>
      <c r="I62">
        <f t="shared" si="31"/>
        <v>0.21699106327294099</v>
      </c>
      <c r="J62">
        <f t="shared" si="31"/>
        <v>0.23763107596207256</v>
      </c>
      <c r="K62">
        <f t="shared" si="31"/>
        <v>0.26023434979837706</v>
      </c>
      <c r="L62">
        <f t="shared" si="31"/>
        <v>0.28498762857848148</v>
      </c>
      <c r="M62">
        <f t="shared" si="31"/>
        <v>0.31209541901640631</v>
      </c>
      <c r="N62">
        <f t="shared" si="31"/>
        <v>0.3417816803377578</v>
      </c>
      <c r="O62">
        <f t="shared" si="31"/>
        <v>0.37429167458674079</v>
      </c>
      <c r="P62">
        <f t="shared" si="31"/>
        <v>0.39168853572435164</v>
      </c>
    </row>
    <row r="63" spans="2:16" x14ac:dyDescent="0.25">
      <c r="C63" t="s">
        <v>120</v>
      </c>
      <c r="D63" s="17">
        <f>0.8*(300/8.12)*D59*(1-EXP(-D60*12))/(EXP(-D60*12))</f>
        <v>933.20723693264165</v>
      </c>
      <c r="E63" s="17">
        <f t="shared" ref="E63:P63" si="32">0.8*(300/8.12)*E59*(1-EXP(-E60*12))/(EXP(-E60*12))</f>
        <v>759.18773240172322</v>
      </c>
      <c r="F63" s="17">
        <f t="shared" si="32"/>
        <v>673.45683966630827</v>
      </c>
      <c r="G63" s="17">
        <f t="shared" si="32"/>
        <v>591.53368777621404</v>
      </c>
      <c r="H63" s="17">
        <f t="shared" si="32"/>
        <v>513.24915577769184</v>
      </c>
      <c r="I63" s="17">
        <f t="shared" si="32"/>
        <v>438.44163423055443</v>
      </c>
      <c r="J63" s="17">
        <f t="shared" si="32"/>
        <v>366.95669158401603</v>
      </c>
      <c r="K63" s="17">
        <f t="shared" si="32"/>
        <v>298.64675537046452</v>
      </c>
      <c r="L63" s="17">
        <f t="shared" si="32"/>
        <v>233.37080755902053</v>
      </c>
      <c r="M63" s="17">
        <f t="shared" si="32"/>
        <v>170.99409343998366</v>
      </c>
      <c r="N63" s="17">
        <f t="shared" si="32"/>
        <v>111.38784343918438</v>
      </c>
      <c r="O63" s="17">
        <f t="shared" si="32"/>
        <v>54.429007287963181</v>
      </c>
      <c r="P63" s="17">
        <f t="shared" si="32"/>
        <v>26.905417322462519</v>
      </c>
    </row>
  </sheetData>
  <sheetProtection algorithmName="SHA-512" hashValue="oHmjjmjcJTzThdlC1Y3KrJ8m7qb3ZrOv48Fsc8azjlHVInlmnzm6dGCaCpmZ3raLLmxy0wYh8G8QoJj7RUvu4Q==" saltValue="qRG70qTDyj4qx1cistKDQw==" spinCount="100000" sheet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79EE-1297-40C8-A540-29EB4471883C}">
  <dimension ref="B2:Q142"/>
  <sheetViews>
    <sheetView workbookViewId="0">
      <selection activeCell="H25" sqref="H25"/>
    </sheetView>
  </sheetViews>
  <sheetFormatPr defaultRowHeight="15" x14ac:dyDescent="0.25"/>
  <cols>
    <col min="3" max="3" width="56" bestFit="1" customWidth="1"/>
    <col min="4" max="4" width="9.7109375" customWidth="1"/>
  </cols>
  <sheetData>
    <row r="2" spans="3:9" x14ac:dyDescent="0.25">
      <c r="C2" t="s">
        <v>0</v>
      </c>
      <c r="I2" t="s">
        <v>1</v>
      </c>
    </row>
    <row r="3" spans="3:9" x14ac:dyDescent="0.25">
      <c r="C3" t="s">
        <v>2</v>
      </c>
    </row>
    <row r="4" spans="3:9" x14ac:dyDescent="0.25">
      <c r="C4" s="23" t="s">
        <v>3</v>
      </c>
      <c r="F4" t="s">
        <v>157</v>
      </c>
    </row>
    <row r="5" spans="3:9" x14ac:dyDescent="0.25">
      <c r="C5" s="24" t="s">
        <v>4</v>
      </c>
      <c r="D5" s="35">
        <v>1</v>
      </c>
      <c r="F5" t="s">
        <v>154</v>
      </c>
    </row>
    <row r="6" spans="3:9" x14ac:dyDescent="0.25">
      <c r="C6" s="24" t="s">
        <v>6</v>
      </c>
      <c r="D6" s="35"/>
      <c r="F6" s="23" t="s">
        <v>138</v>
      </c>
    </row>
    <row r="7" spans="3:9" x14ac:dyDescent="0.25">
      <c r="C7" s="24" t="s">
        <v>8</v>
      </c>
      <c r="D7" s="35"/>
      <c r="F7" t="s">
        <v>158</v>
      </c>
    </row>
    <row r="8" spans="3:9" x14ac:dyDescent="0.25">
      <c r="C8" s="24" t="s">
        <v>9</v>
      </c>
      <c r="D8" s="35"/>
      <c r="F8" t="s">
        <v>151</v>
      </c>
    </row>
    <row r="9" spans="3:9" x14ac:dyDescent="0.25">
      <c r="C9" s="24" t="s">
        <v>11</v>
      </c>
      <c r="D9" s="35" t="s">
        <v>12</v>
      </c>
      <c r="F9" t="s">
        <v>134</v>
      </c>
    </row>
    <row r="10" spans="3:9" x14ac:dyDescent="0.25">
      <c r="C10" s="24" t="s">
        <v>14</v>
      </c>
      <c r="D10" s="35"/>
      <c r="F10" s="23" t="s">
        <v>16</v>
      </c>
    </row>
    <row r="11" spans="3:9" x14ac:dyDescent="0.25">
      <c r="C11" s="23" t="s">
        <v>38</v>
      </c>
      <c r="D11" s="15" t="e">
        <f>IF(D9="Male",(140-D6)*D13/(72*D10), 0.85*(140-D6)*D13/(72*D10))</f>
        <v>#DIV/0!</v>
      </c>
      <c r="F11" s="23" t="s">
        <v>156</v>
      </c>
    </row>
    <row r="12" spans="3:9" x14ac:dyDescent="0.25">
      <c r="C12" s="23" t="s">
        <v>17</v>
      </c>
      <c r="D12" s="15" t="e">
        <f>IF(D9="Male",9270*D8/(6680+(216*(D8/(D7*2.54/100)^2))),9270*D8/(8780+(244*(D8/(D7*2.54/100)^2))))</f>
        <v>#DIV/0!</v>
      </c>
      <c r="F12" s="23" t="s">
        <v>155</v>
      </c>
    </row>
    <row r="13" spans="3:9" x14ac:dyDescent="0.25">
      <c r="C13" s="23" t="s">
        <v>19</v>
      </c>
      <c r="D13" s="15" t="e">
        <f>IF(D12&lt;D8,D12,D8)</f>
        <v>#DIV/0!</v>
      </c>
    </row>
    <row r="14" spans="3:9" x14ac:dyDescent="0.25">
      <c r="C14" s="24" t="s">
        <v>121</v>
      </c>
      <c r="D14" s="35"/>
    </row>
    <row r="15" spans="3:9" x14ac:dyDescent="0.25">
      <c r="C15" s="24" t="s">
        <v>21</v>
      </c>
      <c r="D15" s="35" t="s">
        <v>22</v>
      </c>
      <c r="F15" s="23" t="s">
        <v>152</v>
      </c>
    </row>
    <row r="16" spans="3:9" x14ac:dyDescent="0.25">
      <c r="C16" s="23" t="s">
        <v>23</v>
      </c>
      <c r="D16">
        <f>IF(D15="Carbonate",8.12*D14/300,8*D14/300)</f>
        <v>0</v>
      </c>
    </row>
    <row r="17" spans="2:17" x14ac:dyDescent="0.25">
      <c r="C17" s="23" t="s">
        <v>148</v>
      </c>
      <c r="D17" s="27" t="e">
        <f>D$11</f>
        <v>#DIV/0!</v>
      </c>
      <c r="E17" s="23">
        <v>120</v>
      </c>
      <c r="F17" s="23">
        <v>110</v>
      </c>
      <c r="G17" s="23">
        <v>100</v>
      </c>
      <c r="H17" s="23">
        <v>90</v>
      </c>
      <c r="I17" s="23">
        <v>80</v>
      </c>
      <c r="J17" s="23">
        <v>70</v>
      </c>
      <c r="K17" s="23">
        <v>60</v>
      </c>
      <c r="L17" s="23">
        <v>50</v>
      </c>
      <c r="M17" s="23">
        <v>40</v>
      </c>
      <c r="N17" s="23">
        <v>30</v>
      </c>
      <c r="O17" s="23">
        <v>20</v>
      </c>
      <c r="P17" s="23">
        <v>10</v>
      </c>
      <c r="Q17" s="23">
        <v>5</v>
      </c>
    </row>
    <row r="18" spans="2:17" x14ac:dyDescent="0.25">
      <c r="C18" s="23" t="s">
        <v>25</v>
      </c>
      <c r="D18" s="17" t="e">
        <f>0.25*D17*60/1000</f>
        <v>#DIV/0!</v>
      </c>
      <c r="E18">
        <f>0.25*E17*60/1000</f>
        <v>1.8</v>
      </c>
      <c r="F18">
        <f t="shared" ref="F18:Q18" si="0">0.25*F17*60/1000</f>
        <v>1.65</v>
      </c>
      <c r="G18">
        <f t="shared" si="0"/>
        <v>1.5</v>
      </c>
      <c r="H18">
        <f t="shared" si="0"/>
        <v>1.35</v>
      </c>
      <c r="I18">
        <f t="shared" si="0"/>
        <v>1.2</v>
      </c>
      <c r="J18">
        <f t="shared" si="0"/>
        <v>1.05</v>
      </c>
      <c r="K18">
        <f t="shared" si="0"/>
        <v>0.9</v>
      </c>
      <c r="L18">
        <f t="shared" si="0"/>
        <v>0.75</v>
      </c>
      <c r="M18">
        <f t="shared" si="0"/>
        <v>0.6</v>
      </c>
      <c r="N18">
        <f t="shared" si="0"/>
        <v>0.45</v>
      </c>
      <c r="O18">
        <f t="shared" si="0"/>
        <v>0.3</v>
      </c>
      <c r="P18">
        <f t="shared" si="0"/>
        <v>0.15</v>
      </c>
      <c r="Q18">
        <f t="shared" si="0"/>
        <v>7.4999999999999997E-2</v>
      </c>
    </row>
    <row r="19" spans="2:17" x14ac:dyDescent="0.25">
      <c r="C19" s="23" t="s">
        <v>26</v>
      </c>
      <c r="D19" s="20" t="e">
        <f>D18/(0.7*$D$13)</f>
        <v>#DIV/0!</v>
      </c>
      <c r="E19" s="20" t="e">
        <f t="shared" ref="E19:Q19" si="1">E18/(0.7*$D$13)</f>
        <v>#DIV/0!</v>
      </c>
      <c r="F19" s="20" t="e">
        <f t="shared" si="1"/>
        <v>#DIV/0!</v>
      </c>
      <c r="G19" s="20" t="e">
        <f t="shared" si="1"/>
        <v>#DIV/0!</v>
      </c>
      <c r="H19" s="20" t="e">
        <f t="shared" si="1"/>
        <v>#DIV/0!</v>
      </c>
      <c r="I19" s="20" t="e">
        <f t="shared" si="1"/>
        <v>#DIV/0!</v>
      </c>
      <c r="J19" s="20" t="e">
        <f t="shared" si="1"/>
        <v>#DIV/0!</v>
      </c>
      <c r="K19" s="20" t="e">
        <f t="shared" si="1"/>
        <v>#DIV/0!</v>
      </c>
      <c r="L19" s="20" t="e">
        <f t="shared" si="1"/>
        <v>#DIV/0!</v>
      </c>
      <c r="M19" s="20" t="e">
        <f t="shared" si="1"/>
        <v>#DIV/0!</v>
      </c>
      <c r="N19" s="20" t="e">
        <f t="shared" si="1"/>
        <v>#DIV/0!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</row>
    <row r="20" spans="2:17" x14ac:dyDescent="0.25">
      <c r="C20" s="23" t="s">
        <v>27</v>
      </c>
      <c r="D20" s="15" t="e">
        <f>0.693/(D18/($D$13*0.7))</f>
        <v>#DIV/0!</v>
      </c>
      <c r="E20" s="15" t="e">
        <f t="shared" ref="E20:Q20" si="2">0.693/(E18/($D$13*0.7))</f>
        <v>#DIV/0!</v>
      </c>
      <c r="F20" s="15" t="e">
        <f t="shared" si="2"/>
        <v>#DIV/0!</v>
      </c>
      <c r="G20" s="15" t="e">
        <f t="shared" si="2"/>
        <v>#DIV/0!</v>
      </c>
      <c r="H20" s="15" t="e">
        <f t="shared" si="2"/>
        <v>#DIV/0!</v>
      </c>
      <c r="I20" s="15" t="e">
        <f t="shared" si="2"/>
        <v>#DIV/0!</v>
      </c>
      <c r="J20" s="15" t="e">
        <f t="shared" si="2"/>
        <v>#DIV/0!</v>
      </c>
      <c r="K20" s="15" t="e">
        <f t="shared" si="2"/>
        <v>#DIV/0!</v>
      </c>
      <c r="L20" s="15" t="e">
        <f t="shared" si="2"/>
        <v>#DIV/0!</v>
      </c>
      <c r="M20" s="15" t="e">
        <f t="shared" si="2"/>
        <v>#DIV/0!</v>
      </c>
      <c r="N20" s="15" t="e">
        <f t="shared" si="2"/>
        <v>#DIV/0!</v>
      </c>
      <c r="O20" s="15" t="e">
        <f t="shared" si="2"/>
        <v>#DIV/0!</v>
      </c>
      <c r="P20" s="15" t="e">
        <f t="shared" si="2"/>
        <v>#DIV/0!</v>
      </c>
      <c r="Q20" s="15" t="e">
        <f t="shared" si="2"/>
        <v>#DIV/0!</v>
      </c>
    </row>
    <row r="21" spans="2:17" x14ac:dyDescent="0.25">
      <c r="C21" s="23" t="s">
        <v>28</v>
      </c>
      <c r="D21" s="15" t="e">
        <f>0.693*5/(D$18/($D13*0.7))</f>
        <v>#DIV/0!</v>
      </c>
      <c r="E21" s="15" t="e">
        <f t="shared" ref="E21:Q21" si="3">0.693*5/(E$18/($D13*0.7))</f>
        <v>#DIV/0!</v>
      </c>
      <c r="F21" s="15" t="e">
        <f t="shared" si="3"/>
        <v>#DIV/0!</v>
      </c>
      <c r="G21" s="15" t="e">
        <f t="shared" si="3"/>
        <v>#DIV/0!</v>
      </c>
      <c r="H21" s="15" t="e">
        <f t="shared" si="3"/>
        <v>#DIV/0!</v>
      </c>
      <c r="I21" s="15" t="e">
        <f t="shared" si="3"/>
        <v>#DIV/0!</v>
      </c>
      <c r="J21" s="15" t="e">
        <f t="shared" si="3"/>
        <v>#DIV/0!</v>
      </c>
      <c r="K21" s="15" t="e">
        <f t="shared" si="3"/>
        <v>#DIV/0!</v>
      </c>
      <c r="L21" s="15" t="e">
        <f t="shared" si="3"/>
        <v>#DIV/0!</v>
      </c>
      <c r="M21" s="15" t="e">
        <f t="shared" si="3"/>
        <v>#DIV/0!</v>
      </c>
      <c r="N21" s="15" t="e">
        <f t="shared" si="3"/>
        <v>#DIV/0!</v>
      </c>
      <c r="O21" s="15" t="e">
        <f t="shared" si="3"/>
        <v>#DIV/0!</v>
      </c>
      <c r="P21" s="15" t="e">
        <f t="shared" si="3"/>
        <v>#DIV/0!</v>
      </c>
      <c r="Q21" s="15" t="e">
        <f t="shared" si="3"/>
        <v>#DIV/0!</v>
      </c>
    </row>
    <row r="22" spans="2:17" x14ac:dyDescent="0.25">
      <c r="C22" s="24" t="s">
        <v>127</v>
      </c>
      <c r="D22" s="35"/>
    </row>
    <row r="23" spans="2:17" x14ac:dyDescent="0.25">
      <c r="C23" s="23" t="s">
        <v>153</v>
      </c>
      <c r="D23" s="21" t="e">
        <f>$D16/($D13*0.7)*(EXP(-D19*$D22))</f>
        <v>#DIV/0!</v>
      </c>
      <c r="E23" s="21" t="e">
        <f>$D16/($D13*0.7)*(EXP(-E19*$D22))</f>
        <v>#DIV/0!</v>
      </c>
      <c r="F23" s="21" t="e">
        <f t="shared" ref="F23:Q23" si="4">$D16/($D13*0.7)*(EXP(-F19*$D22))</f>
        <v>#DIV/0!</v>
      </c>
      <c r="G23" s="21" t="e">
        <f t="shared" si="4"/>
        <v>#DIV/0!</v>
      </c>
      <c r="H23" s="21" t="e">
        <f t="shared" si="4"/>
        <v>#DIV/0!</v>
      </c>
      <c r="I23" s="21" t="e">
        <f t="shared" si="4"/>
        <v>#DIV/0!</v>
      </c>
      <c r="J23" s="21" t="e">
        <f t="shared" si="4"/>
        <v>#DIV/0!</v>
      </c>
      <c r="K23" s="21" t="e">
        <f t="shared" si="4"/>
        <v>#DIV/0!</v>
      </c>
      <c r="L23" s="21" t="e">
        <f t="shared" si="4"/>
        <v>#DIV/0!</v>
      </c>
      <c r="M23" s="21" t="e">
        <f t="shared" si="4"/>
        <v>#DIV/0!</v>
      </c>
      <c r="N23" s="21" t="e">
        <f t="shared" si="4"/>
        <v>#DIV/0!</v>
      </c>
      <c r="O23" s="21" t="e">
        <f t="shared" si="4"/>
        <v>#DIV/0!</v>
      </c>
      <c r="P23" s="21" t="e">
        <f t="shared" si="4"/>
        <v>#DIV/0!</v>
      </c>
      <c r="Q23" s="21" t="e">
        <f t="shared" si="4"/>
        <v>#DIV/0!</v>
      </c>
    </row>
    <row r="25" spans="2:17" ht="60" x14ac:dyDescent="0.25">
      <c r="D25" s="25" t="s">
        <v>140</v>
      </c>
      <c r="E25" s="26" t="s">
        <v>150</v>
      </c>
      <c r="F25" s="29" t="s">
        <v>139</v>
      </c>
    </row>
    <row r="26" spans="2:17" x14ac:dyDescent="0.25">
      <c r="C26" s="24" t="s">
        <v>142</v>
      </c>
      <c r="D26" s="36"/>
      <c r="E26" s="36"/>
      <c r="F26" s="30" t="str">
        <f>IF(ISNUMBER(D26),LN(D26),"")</f>
        <v/>
      </c>
    </row>
    <row r="27" spans="2:17" x14ac:dyDescent="0.25">
      <c r="C27" s="24" t="s">
        <v>141</v>
      </c>
      <c r="D27" s="36"/>
      <c r="E27" s="36"/>
      <c r="F27" s="30" t="str">
        <f>IF(ISNUMBER(D27),LN(D27),"")</f>
        <v/>
      </c>
    </row>
    <row r="28" spans="2:17" x14ac:dyDescent="0.25">
      <c r="C28" s="24" t="s">
        <v>149</v>
      </c>
      <c r="D28" s="36"/>
      <c r="E28" s="36"/>
      <c r="F28" s="30" t="str">
        <f>IF(ISNUMBER(D28),LN(D28),"")</f>
        <v/>
      </c>
    </row>
    <row r="29" spans="2:17" x14ac:dyDescent="0.25">
      <c r="C29" s="23" t="s">
        <v>145</v>
      </c>
      <c r="D29" s="17" t="e">
        <f>IF(ISNUMBER(D30),D30*D13*0.7,D18)</f>
        <v>#DIV/0!</v>
      </c>
    </row>
    <row r="30" spans="2:17" hidden="1" x14ac:dyDescent="0.25">
      <c r="B30" t="s">
        <v>147</v>
      </c>
      <c r="C30" s="23" t="s">
        <v>144</v>
      </c>
      <c r="D30" t="e">
        <f>-SLOPE(F26:F28,E26:E28)</f>
        <v>#DIV/0!</v>
      </c>
    </row>
    <row r="31" spans="2:17" x14ac:dyDescent="0.25">
      <c r="C31" s="31" t="s">
        <v>146</v>
      </c>
      <c r="D31" t="e">
        <f>IF(ISNUMBER(D30),D30,D19)</f>
        <v>#DIV/0!</v>
      </c>
    </row>
    <row r="32" spans="2:17" x14ac:dyDescent="0.25">
      <c r="C32" s="23" t="s">
        <v>143</v>
      </c>
      <c r="D32" s="15" t="e">
        <f>0.693/D31</f>
        <v>#DIV/0!</v>
      </c>
    </row>
    <row r="33" spans="2:17" x14ac:dyDescent="0.25">
      <c r="C33" s="23" t="s">
        <v>123</v>
      </c>
      <c r="D33" s="28" t="e">
        <f>0.8*(300/8.12)*$D13*0.7*(1-EXP(-D31*12))/(EXP(-D31*12))</f>
        <v>#DIV/0!</v>
      </c>
      <c r="E33" s="28" t="e">
        <f t="shared" ref="E33:Q33" si="5">0.8*(300/8.12)*$D13*0.7*(1-EXP(-E19*12))/(EXP(-E19*12))</f>
        <v>#DIV/0!</v>
      </c>
      <c r="F33" s="28" t="e">
        <f t="shared" si="5"/>
        <v>#DIV/0!</v>
      </c>
      <c r="G33" s="28" t="e">
        <f t="shared" si="5"/>
        <v>#DIV/0!</v>
      </c>
      <c r="H33" s="28" t="e">
        <f t="shared" si="5"/>
        <v>#DIV/0!</v>
      </c>
      <c r="I33" s="28" t="e">
        <f t="shared" si="5"/>
        <v>#DIV/0!</v>
      </c>
      <c r="J33" s="28" t="e">
        <f t="shared" si="5"/>
        <v>#DIV/0!</v>
      </c>
      <c r="K33" s="28" t="e">
        <f t="shared" si="5"/>
        <v>#DIV/0!</v>
      </c>
      <c r="L33" s="28" t="e">
        <f t="shared" si="5"/>
        <v>#DIV/0!</v>
      </c>
      <c r="M33" s="28" t="e">
        <f t="shared" si="5"/>
        <v>#DIV/0!</v>
      </c>
      <c r="N33" s="28" t="e">
        <f t="shared" si="5"/>
        <v>#DIV/0!</v>
      </c>
      <c r="O33" s="28" t="e">
        <f t="shared" si="5"/>
        <v>#DIV/0!</v>
      </c>
      <c r="P33" s="28" t="e">
        <f t="shared" si="5"/>
        <v>#DIV/0!</v>
      </c>
      <c r="Q33" s="28" t="e">
        <f t="shared" si="5"/>
        <v>#DIV/0!</v>
      </c>
    </row>
    <row r="34" spans="2:17" x14ac:dyDescent="0.25">
      <c r="C34" s="24" t="s">
        <v>124</v>
      </c>
      <c r="D34" s="35"/>
    </row>
    <row r="35" spans="2:17" x14ac:dyDescent="0.25">
      <c r="C35" s="23" t="s">
        <v>23</v>
      </c>
      <c r="D35">
        <f>IF(D15="Carbonate",8.12*D34/300, 8*D34/200)</f>
        <v>0</v>
      </c>
    </row>
    <row r="36" spans="2:17" x14ac:dyDescent="0.25"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2:17" x14ac:dyDescent="0.25">
      <c r="B37" s="23" t="s">
        <v>29</v>
      </c>
      <c r="C37" s="23">
        <v>6</v>
      </c>
    </row>
    <row r="38" spans="2:17" x14ac:dyDescent="0.25">
      <c r="B38" s="23"/>
      <c r="C38" s="23" t="s">
        <v>30</v>
      </c>
      <c r="D38" t="e">
        <f>$D$35*$D$5/(($D$13*0.7)*(1-EXP(-D$29*$C37/($D$13*0.7))))</f>
        <v>#DIV/0!</v>
      </c>
      <c r="E38" t="e">
        <f t="shared" ref="E38:Q38" si="6">$D$35*$D$5/(($D$13*0.7)*(1-EXP(-E$18*$C37/($D$13*0.7))))</f>
        <v>#DIV/0!</v>
      </c>
      <c r="F38" t="e">
        <f t="shared" si="6"/>
        <v>#DIV/0!</v>
      </c>
      <c r="G38" t="e">
        <f t="shared" si="6"/>
        <v>#DIV/0!</v>
      </c>
      <c r="H38" t="e">
        <f t="shared" si="6"/>
        <v>#DIV/0!</v>
      </c>
      <c r="I38" t="e">
        <f t="shared" si="6"/>
        <v>#DIV/0!</v>
      </c>
      <c r="J38" t="e">
        <f t="shared" si="6"/>
        <v>#DIV/0!</v>
      </c>
      <c r="K38" t="e">
        <f t="shared" si="6"/>
        <v>#DIV/0!</v>
      </c>
      <c r="L38" t="e">
        <f t="shared" si="6"/>
        <v>#DIV/0!</v>
      </c>
      <c r="M38" t="e">
        <f t="shared" si="6"/>
        <v>#DIV/0!</v>
      </c>
      <c r="N38" t="e">
        <f t="shared" si="6"/>
        <v>#DIV/0!</v>
      </c>
      <c r="O38" t="e">
        <f t="shared" si="6"/>
        <v>#DIV/0!</v>
      </c>
      <c r="P38" t="e">
        <f t="shared" si="6"/>
        <v>#DIV/0!</v>
      </c>
      <c r="Q38" t="e">
        <f t="shared" si="6"/>
        <v>#DIV/0!</v>
      </c>
    </row>
    <row r="39" spans="2:17" x14ac:dyDescent="0.25">
      <c r="B39" s="23"/>
      <c r="C39" s="23" t="s">
        <v>31</v>
      </c>
      <c r="D39" t="e">
        <f>D38*EXP(-D$31*$C37)</f>
        <v>#DIV/0!</v>
      </c>
      <c r="E39" t="e">
        <f t="shared" ref="E39:Q39" si="7">E38*EXP(-E$19*$C37)</f>
        <v>#DIV/0!</v>
      </c>
      <c r="F39" t="e">
        <f t="shared" si="7"/>
        <v>#DIV/0!</v>
      </c>
      <c r="G39" t="e">
        <f t="shared" si="7"/>
        <v>#DIV/0!</v>
      </c>
      <c r="H39" t="e">
        <f t="shared" si="7"/>
        <v>#DIV/0!</v>
      </c>
      <c r="I39" t="e">
        <f t="shared" si="7"/>
        <v>#DIV/0!</v>
      </c>
      <c r="J39" t="e">
        <f t="shared" si="7"/>
        <v>#DIV/0!</v>
      </c>
      <c r="K39" t="e">
        <f t="shared" si="7"/>
        <v>#DIV/0!</v>
      </c>
      <c r="L39" t="e">
        <f t="shared" si="7"/>
        <v>#DIV/0!</v>
      </c>
      <c r="M39" t="e">
        <f t="shared" si="7"/>
        <v>#DIV/0!</v>
      </c>
      <c r="N39" t="e">
        <f t="shared" si="7"/>
        <v>#DIV/0!</v>
      </c>
      <c r="O39" t="e">
        <f t="shared" si="7"/>
        <v>#DIV/0!</v>
      </c>
      <c r="P39" t="e">
        <f t="shared" si="7"/>
        <v>#DIV/0!</v>
      </c>
      <c r="Q39" t="e">
        <f t="shared" si="7"/>
        <v>#DIV/0!</v>
      </c>
    </row>
    <row r="40" spans="2:17" x14ac:dyDescent="0.25">
      <c r="B40" s="23"/>
      <c r="C40" s="23" t="s">
        <v>32</v>
      </c>
      <c r="D40" t="e">
        <f>D38*EXP(-(D$29*12/($D$13*0.7)))</f>
        <v>#DIV/0!</v>
      </c>
      <c r="E40" t="e">
        <f>E38*EXP(-(E$18*12/($D$13*0.7)))</f>
        <v>#DIV/0!</v>
      </c>
      <c r="F40" t="e">
        <f t="shared" ref="F40:Q40" si="8">F38*EXP(-(F$18*12/($D$13*0.7)))</f>
        <v>#DIV/0!</v>
      </c>
      <c r="G40" t="e">
        <f t="shared" si="8"/>
        <v>#DIV/0!</v>
      </c>
      <c r="H40" t="e">
        <f t="shared" si="8"/>
        <v>#DIV/0!</v>
      </c>
      <c r="I40" t="e">
        <f t="shared" si="8"/>
        <v>#DIV/0!</v>
      </c>
      <c r="J40" t="e">
        <f t="shared" si="8"/>
        <v>#DIV/0!</v>
      </c>
      <c r="K40" t="e">
        <f t="shared" si="8"/>
        <v>#DIV/0!</v>
      </c>
      <c r="L40" t="e">
        <f t="shared" si="8"/>
        <v>#DIV/0!</v>
      </c>
      <c r="M40" t="e">
        <f t="shared" si="8"/>
        <v>#DIV/0!</v>
      </c>
      <c r="N40" t="e">
        <f t="shared" si="8"/>
        <v>#DIV/0!</v>
      </c>
      <c r="O40" t="e">
        <f t="shared" si="8"/>
        <v>#DIV/0!</v>
      </c>
      <c r="P40" t="e">
        <f t="shared" si="8"/>
        <v>#DIV/0!</v>
      </c>
      <c r="Q40" t="e">
        <f t="shared" si="8"/>
        <v>#DIV/0!</v>
      </c>
    </row>
    <row r="41" spans="2:17" x14ac:dyDescent="0.25">
      <c r="B41" s="23" t="s">
        <v>29</v>
      </c>
      <c r="C41" s="23">
        <v>8</v>
      </c>
    </row>
    <row r="42" spans="2:17" x14ac:dyDescent="0.25">
      <c r="B42" s="23"/>
      <c r="C42" s="23" t="s">
        <v>30</v>
      </c>
      <c r="D42" t="e">
        <f>$D$35*$D$5/(($D$13*0.7)*(1-EXP(-D$29*$C41/($D$13*0.7))))</f>
        <v>#DIV/0!</v>
      </c>
      <c r="E42" t="e">
        <f t="shared" ref="E42:Q42" si="9">$D$35*$D$5/(($D$13*0.7)*(1-EXP(-E$18*$C41/($D$13*0.7))))</f>
        <v>#DIV/0!</v>
      </c>
      <c r="F42" t="e">
        <f t="shared" si="9"/>
        <v>#DIV/0!</v>
      </c>
      <c r="G42" t="e">
        <f t="shared" si="9"/>
        <v>#DIV/0!</v>
      </c>
      <c r="H42" t="e">
        <f t="shared" si="9"/>
        <v>#DIV/0!</v>
      </c>
      <c r="I42" t="e">
        <f t="shared" si="9"/>
        <v>#DIV/0!</v>
      </c>
      <c r="J42" t="e">
        <f t="shared" si="9"/>
        <v>#DIV/0!</v>
      </c>
      <c r="K42" t="e">
        <f t="shared" si="9"/>
        <v>#DIV/0!</v>
      </c>
      <c r="L42" t="e">
        <f t="shared" si="9"/>
        <v>#DIV/0!</v>
      </c>
      <c r="M42" t="e">
        <f t="shared" si="9"/>
        <v>#DIV/0!</v>
      </c>
      <c r="N42" t="e">
        <f t="shared" si="9"/>
        <v>#DIV/0!</v>
      </c>
      <c r="O42" t="e">
        <f t="shared" si="9"/>
        <v>#DIV/0!</v>
      </c>
      <c r="P42" t="e">
        <f t="shared" si="9"/>
        <v>#DIV/0!</v>
      </c>
      <c r="Q42" t="e">
        <f t="shared" si="9"/>
        <v>#DIV/0!</v>
      </c>
    </row>
    <row r="43" spans="2:17" x14ac:dyDescent="0.25">
      <c r="B43" s="23"/>
      <c r="C43" s="23" t="s">
        <v>31</v>
      </c>
      <c r="D43" t="e">
        <f>D42*EXP(-D$31*$C41)</f>
        <v>#DIV/0!</v>
      </c>
      <c r="E43" t="e">
        <f>E42*EXP(-E$19*$C41)</f>
        <v>#DIV/0!</v>
      </c>
      <c r="F43" t="e">
        <f t="shared" ref="F43:Q43" si="10">F42*EXP(-F$19*$C41)</f>
        <v>#DIV/0!</v>
      </c>
      <c r="G43" t="e">
        <f t="shared" si="10"/>
        <v>#DIV/0!</v>
      </c>
      <c r="H43" t="e">
        <f t="shared" si="10"/>
        <v>#DIV/0!</v>
      </c>
      <c r="I43" t="e">
        <f t="shared" si="10"/>
        <v>#DIV/0!</v>
      </c>
      <c r="J43" t="e">
        <f t="shared" si="10"/>
        <v>#DIV/0!</v>
      </c>
      <c r="K43" t="e">
        <f t="shared" si="10"/>
        <v>#DIV/0!</v>
      </c>
      <c r="L43" t="e">
        <f t="shared" si="10"/>
        <v>#DIV/0!</v>
      </c>
      <c r="M43" t="e">
        <f t="shared" si="10"/>
        <v>#DIV/0!</v>
      </c>
      <c r="N43" t="e">
        <f t="shared" si="10"/>
        <v>#DIV/0!</v>
      </c>
      <c r="O43" t="e">
        <f t="shared" si="10"/>
        <v>#DIV/0!</v>
      </c>
      <c r="P43" t="e">
        <f t="shared" si="10"/>
        <v>#DIV/0!</v>
      </c>
      <c r="Q43" t="e">
        <f t="shared" si="10"/>
        <v>#DIV/0!</v>
      </c>
    </row>
    <row r="44" spans="2:17" x14ac:dyDescent="0.25">
      <c r="B44" s="23"/>
      <c r="C44" s="23" t="s">
        <v>32</v>
      </c>
      <c r="D44" t="e">
        <f>D42*EXP(-(D$29*12/($D$13*0.7)))</f>
        <v>#DIV/0!</v>
      </c>
      <c r="E44" t="e">
        <f>E42*EXP(-(E$18*12/($D$13*0.7)))</f>
        <v>#DIV/0!</v>
      </c>
      <c r="F44" t="e">
        <f t="shared" ref="F44:Q44" si="11">F42*EXP(-(F$18*12/($D$13*0.7)))</f>
        <v>#DIV/0!</v>
      </c>
      <c r="G44" t="e">
        <f t="shared" si="11"/>
        <v>#DIV/0!</v>
      </c>
      <c r="H44" t="e">
        <f t="shared" si="11"/>
        <v>#DIV/0!</v>
      </c>
      <c r="I44" t="e">
        <f t="shared" si="11"/>
        <v>#DIV/0!</v>
      </c>
      <c r="J44" t="e">
        <f t="shared" si="11"/>
        <v>#DIV/0!</v>
      </c>
      <c r="K44" t="e">
        <f t="shared" si="11"/>
        <v>#DIV/0!</v>
      </c>
      <c r="L44" t="e">
        <f t="shared" si="11"/>
        <v>#DIV/0!</v>
      </c>
      <c r="M44" t="e">
        <f t="shared" si="11"/>
        <v>#DIV/0!</v>
      </c>
      <c r="N44" t="e">
        <f t="shared" si="11"/>
        <v>#DIV/0!</v>
      </c>
      <c r="O44" t="e">
        <f t="shared" si="11"/>
        <v>#DIV/0!</v>
      </c>
      <c r="P44" t="e">
        <f t="shared" si="11"/>
        <v>#DIV/0!</v>
      </c>
      <c r="Q44" t="e">
        <f t="shared" si="11"/>
        <v>#DIV/0!</v>
      </c>
    </row>
    <row r="45" spans="2:17" x14ac:dyDescent="0.25">
      <c r="B45" s="23" t="s">
        <v>29</v>
      </c>
      <c r="C45" s="23">
        <v>12</v>
      </c>
    </row>
    <row r="46" spans="2:17" x14ac:dyDescent="0.25">
      <c r="B46" s="23"/>
      <c r="C46" s="23" t="s">
        <v>30</v>
      </c>
      <c r="D46" t="e">
        <f>$D$35*$D$5/(($D$13*0.7)*(1-EXP(-D$29*$C45/($D$13*0.7))))</f>
        <v>#DIV/0!</v>
      </c>
      <c r="E46" t="e">
        <f t="shared" ref="E46:Q46" si="12">$D$35*$D$5/(($D$13*0.7)*(1-EXP(-E$18*$C45/($D$13*0.7))))</f>
        <v>#DIV/0!</v>
      </c>
      <c r="F46" t="e">
        <f t="shared" si="12"/>
        <v>#DIV/0!</v>
      </c>
      <c r="G46" t="e">
        <f t="shared" si="12"/>
        <v>#DIV/0!</v>
      </c>
      <c r="H46" t="e">
        <f t="shared" si="12"/>
        <v>#DIV/0!</v>
      </c>
      <c r="I46" t="e">
        <f t="shared" si="12"/>
        <v>#DIV/0!</v>
      </c>
      <c r="J46" t="e">
        <f t="shared" si="12"/>
        <v>#DIV/0!</v>
      </c>
      <c r="K46" t="e">
        <f t="shared" si="12"/>
        <v>#DIV/0!</v>
      </c>
      <c r="L46" t="e">
        <f t="shared" si="12"/>
        <v>#DIV/0!</v>
      </c>
      <c r="M46" t="e">
        <f t="shared" si="12"/>
        <v>#DIV/0!</v>
      </c>
      <c r="N46" t="e">
        <f t="shared" si="12"/>
        <v>#DIV/0!</v>
      </c>
      <c r="O46" t="e">
        <f t="shared" si="12"/>
        <v>#DIV/0!</v>
      </c>
      <c r="P46" t="e">
        <f t="shared" si="12"/>
        <v>#DIV/0!</v>
      </c>
      <c r="Q46" t="e">
        <f t="shared" si="12"/>
        <v>#DIV/0!</v>
      </c>
    </row>
    <row r="47" spans="2:17" x14ac:dyDescent="0.25">
      <c r="B47" s="23"/>
      <c r="C47" s="23" t="s">
        <v>31</v>
      </c>
      <c r="D47" t="e">
        <f>D46*EXP(-D$31*$C45)</f>
        <v>#DIV/0!</v>
      </c>
      <c r="E47" t="e">
        <f t="shared" ref="E47:Q47" si="13">E46*EXP(-E$19*$C45)</f>
        <v>#DIV/0!</v>
      </c>
      <c r="F47" t="e">
        <f t="shared" si="13"/>
        <v>#DIV/0!</v>
      </c>
      <c r="G47" t="e">
        <f t="shared" si="13"/>
        <v>#DIV/0!</v>
      </c>
      <c r="H47" t="e">
        <f t="shared" si="13"/>
        <v>#DIV/0!</v>
      </c>
      <c r="I47" t="e">
        <f t="shared" si="13"/>
        <v>#DIV/0!</v>
      </c>
      <c r="J47" t="e">
        <f t="shared" si="13"/>
        <v>#DIV/0!</v>
      </c>
      <c r="K47" t="e">
        <f t="shared" si="13"/>
        <v>#DIV/0!</v>
      </c>
      <c r="L47" t="e">
        <f t="shared" si="13"/>
        <v>#DIV/0!</v>
      </c>
      <c r="M47" t="e">
        <f t="shared" si="13"/>
        <v>#DIV/0!</v>
      </c>
      <c r="N47" t="e">
        <f t="shared" si="13"/>
        <v>#DIV/0!</v>
      </c>
      <c r="O47" t="e">
        <f t="shared" si="13"/>
        <v>#DIV/0!</v>
      </c>
      <c r="P47" t="e">
        <f t="shared" si="13"/>
        <v>#DIV/0!</v>
      </c>
      <c r="Q47" t="e">
        <f t="shared" si="13"/>
        <v>#DIV/0!</v>
      </c>
    </row>
    <row r="48" spans="2:17" x14ac:dyDescent="0.25">
      <c r="B48" s="23"/>
      <c r="C48" s="23" t="s">
        <v>32</v>
      </c>
      <c r="D48" t="e">
        <f>D46*EXP(-(D$29*12/($D$13*0.7)))</f>
        <v>#DIV/0!</v>
      </c>
      <c r="E48" t="e">
        <f>E46*EXP(-(E$18*12/($D$13*0.7)))</f>
        <v>#DIV/0!</v>
      </c>
      <c r="F48" t="e">
        <f t="shared" ref="F48:Q48" si="14">F46*EXP(-(F$18*12/($D$13*0.7)))</f>
        <v>#DIV/0!</v>
      </c>
      <c r="G48" t="e">
        <f t="shared" si="14"/>
        <v>#DIV/0!</v>
      </c>
      <c r="H48" t="e">
        <f t="shared" si="14"/>
        <v>#DIV/0!</v>
      </c>
      <c r="I48" t="e">
        <f t="shared" si="14"/>
        <v>#DIV/0!</v>
      </c>
      <c r="J48" t="e">
        <f t="shared" si="14"/>
        <v>#DIV/0!</v>
      </c>
      <c r="K48" t="e">
        <f t="shared" si="14"/>
        <v>#DIV/0!</v>
      </c>
      <c r="L48" t="e">
        <f t="shared" si="14"/>
        <v>#DIV/0!</v>
      </c>
      <c r="M48" t="e">
        <f t="shared" si="14"/>
        <v>#DIV/0!</v>
      </c>
      <c r="N48" t="e">
        <f t="shared" si="14"/>
        <v>#DIV/0!</v>
      </c>
      <c r="O48" t="e">
        <f t="shared" si="14"/>
        <v>#DIV/0!</v>
      </c>
      <c r="P48" t="e">
        <f t="shared" si="14"/>
        <v>#DIV/0!</v>
      </c>
      <c r="Q48" t="e">
        <f t="shared" si="14"/>
        <v>#DIV/0!</v>
      </c>
    </row>
    <row r="49" spans="2:17" x14ac:dyDescent="0.25">
      <c r="B49" s="23" t="s">
        <v>29</v>
      </c>
      <c r="C49" s="23">
        <v>24</v>
      </c>
    </row>
    <row r="50" spans="2:17" x14ac:dyDescent="0.25">
      <c r="B50" s="23"/>
      <c r="C50" s="23" t="s">
        <v>30</v>
      </c>
      <c r="D50" t="e">
        <f>$D$35*$D$5/(($D$13*0.7)*(1-EXP(-D$29*$C49/($D$13*0.7))))</f>
        <v>#DIV/0!</v>
      </c>
      <c r="E50" t="e">
        <f t="shared" ref="E50:Q50" si="15">$D$35*$D$5/(($D$13*0.7)*(1-EXP(-E$18*$C49/($D$13*0.7))))</f>
        <v>#DIV/0!</v>
      </c>
      <c r="F50" t="e">
        <f t="shared" si="15"/>
        <v>#DIV/0!</v>
      </c>
      <c r="G50" t="e">
        <f t="shared" si="15"/>
        <v>#DIV/0!</v>
      </c>
      <c r="H50" t="e">
        <f t="shared" si="15"/>
        <v>#DIV/0!</v>
      </c>
      <c r="I50" t="e">
        <f t="shared" si="15"/>
        <v>#DIV/0!</v>
      </c>
      <c r="J50" t="e">
        <f t="shared" si="15"/>
        <v>#DIV/0!</v>
      </c>
      <c r="K50" t="e">
        <f t="shared" si="15"/>
        <v>#DIV/0!</v>
      </c>
      <c r="L50" t="e">
        <f t="shared" si="15"/>
        <v>#DIV/0!</v>
      </c>
      <c r="M50" t="e">
        <f t="shared" si="15"/>
        <v>#DIV/0!</v>
      </c>
      <c r="N50" t="e">
        <f t="shared" si="15"/>
        <v>#DIV/0!</v>
      </c>
      <c r="O50" t="e">
        <f t="shared" si="15"/>
        <v>#DIV/0!</v>
      </c>
      <c r="P50" t="e">
        <f t="shared" si="15"/>
        <v>#DIV/0!</v>
      </c>
      <c r="Q50" t="e">
        <f t="shared" si="15"/>
        <v>#DIV/0!</v>
      </c>
    </row>
    <row r="51" spans="2:17" x14ac:dyDescent="0.25">
      <c r="B51" s="23"/>
      <c r="C51" s="23" t="s">
        <v>31</v>
      </c>
      <c r="D51" t="e">
        <f>D50*EXP(-D$31*$C49)</f>
        <v>#DIV/0!</v>
      </c>
      <c r="E51" t="e">
        <f t="shared" ref="E51:Q51" si="16">E50*EXP(-E$19*$C49)</f>
        <v>#DIV/0!</v>
      </c>
      <c r="F51" t="e">
        <f t="shared" si="16"/>
        <v>#DIV/0!</v>
      </c>
      <c r="G51" t="e">
        <f t="shared" si="16"/>
        <v>#DIV/0!</v>
      </c>
      <c r="H51" t="e">
        <f t="shared" si="16"/>
        <v>#DIV/0!</v>
      </c>
      <c r="I51" t="e">
        <f t="shared" si="16"/>
        <v>#DIV/0!</v>
      </c>
      <c r="J51" t="e">
        <f t="shared" si="16"/>
        <v>#DIV/0!</v>
      </c>
      <c r="K51" t="e">
        <f t="shared" si="16"/>
        <v>#DIV/0!</v>
      </c>
      <c r="L51" t="e">
        <f t="shared" si="16"/>
        <v>#DIV/0!</v>
      </c>
      <c r="M51" t="e">
        <f t="shared" si="16"/>
        <v>#DIV/0!</v>
      </c>
      <c r="N51" t="e">
        <f t="shared" si="16"/>
        <v>#DIV/0!</v>
      </c>
      <c r="O51" t="e">
        <f t="shared" si="16"/>
        <v>#DIV/0!</v>
      </c>
      <c r="P51" t="e">
        <f t="shared" si="16"/>
        <v>#DIV/0!</v>
      </c>
      <c r="Q51" t="e">
        <f t="shared" si="16"/>
        <v>#DIV/0!</v>
      </c>
    </row>
    <row r="52" spans="2:17" x14ac:dyDescent="0.25">
      <c r="B52" s="23"/>
      <c r="C52" s="23" t="s">
        <v>32</v>
      </c>
      <c r="D52" t="e">
        <f>D50*EXP(-(D$29*12/($D$13*0.7)))</f>
        <v>#DIV/0!</v>
      </c>
      <c r="E52" t="e">
        <f t="shared" ref="E52:Q52" si="17">E50*EXP(-(E$18*12/($D$13*0.7)))</f>
        <v>#DIV/0!</v>
      </c>
      <c r="F52" t="e">
        <f t="shared" si="17"/>
        <v>#DIV/0!</v>
      </c>
      <c r="G52" t="e">
        <f t="shared" si="17"/>
        <v>#DIV/0!</v>
      </c>
      <c r="H52" t="e">
        <f t="shared" si="17"/>
        <v>#DIV/0!</v>
      </c>
      <c r="I52" t="e">
        <f t="shared" si="17"/>
        <v>#DIV/0!</v>
      </c>
      <c r="J52" t="e">
        <f t="shared" si="17"/>
        <v>#DIV/0!</v>
      </c>
      <c r="K52" t="e">
        <f t="shared" si="17"/>
        <v>#DIV/0!</v>
      </c>
      <c r="L52" t="e">
        <f t="shared" si="17"/>
        <v>#DIV/0!</v>
      </c>
      <c r="M52" t="e">
        <f t="shared" si="17"/>
        <v>#DIV/0!</v>
      </c>
      <c r="N52" t="e">
        <f t="shared" si="17"/>
        <v>#DIV/0!</v>
      </c>
      <c r="O52" t="e">
        <f t="shared" si="17"/>
        <v>#DIV/0!</v>
      </c>
      <c r="P52" t="e">
        <f t="shared" si="17"/>
        <v>#DIV/0!</v>
      </c>
      <c r="Q52" t="e">
        <f t="shared" si="17"/>
        <v>#DIV/0!</v>
      </c>
    </row>
    <row r="53" spans="2:17" x14ac:dyDescent="0.25">
      <c r="B53" s="23" t="s">
        <v>29</v>
      </c>
      <c r="C53" s="23">
        <v>48</v>
      </c>
    </row>
    <row r="54" spans="2:17" x14ac:dyDescent="0.25">
      <c r="B54" s="23"/>
      <c r="C54" s="23" t="s">
        <v>30</v>
      </c>
      <c r="D54" t="e">
        <f>$D$35*$D$5/(($D$13*0.7)*(1-EXP(-D$29*$C53/($D$13*0.7))))</f>
        <v>#DIV/0!</v>
      </c>
      <c r="E54" t="e">
        <f t="shared" ref="E54:Q54" si="18">$D$35*$D$5/(($D$13*0.7)*(1-EXP(-E$18*$C53/($D$13*0.7))))</f>
        <v>#DIV/0!</v>
      </c>
      <c r="F54" t="e">
        <f t="shared" si="18"/>
        <v>#DIV/0!</v>
      </c>
      <c r="G54" t="e">
        <f t="shared" si="18"/>
        <v>#DIV/0!</v>
      </c>
      <c r="H54" t="e">
        <f t="shared" si="18"/>
        <v>#DIV/0!</v>
      </c>
      <c r="I54" t="e">
        <f t="shared" si="18"/>
        <v>#DIV/0!</v>
      </c>
      <c r="J54" t="e">
        <f t="shared" si="18"/>
        <v>#DIV/0!</v>
      </c>
      <c r="K54" t="e">
        <f t="shared" si="18"/>
        <v>#DIV/0!</v>
      </c>
      <c r="L54" t="e">
        <f t="shared" si="18"/>
        <v>#DIV/0!</v>
      </c>
      <c r="M54" t="e">
        <f t="shared" si="18"/>
        <v>#DIV/0!</v>
      </c>
      <c r="N54" t="e">
        <f t="shared" si="18"/>
        <v>#DIV/0!</v>
      </c>
      <c r="O54" t="e">
        <f t="shared" si="18"/>
        <v>#DIV/0!</v>
      </c>
      <c r="P54" t="e">
        <f t="shared" si="18"/>
        <v>#DIV/0!</v>
      </c>
      <c r="Q54" t="e">
        <f t="shared" si="18"/>
        <v>#DIV/0!</v>
      </c>
    </row>
    <row r="55" spans="2:17" x14ac:dyDescent="0.25">
      <c r="B55" s="23"/>
      <c r="C55" s="23" t="s">
        <v>31</v>
      </c>
      <c r="D55" t="e">
        <f>D54*EXP(-D$31*$C53)</f>
        <v>#DIV/0!</v>
      </c>
      <c r="E55" t="e">
        <f t="shared" ref="E55:Q55" si="19">E54*EXP(-E$19*$C53)</f>
        <v>#DIV/0!</v>
      </c>
      <c r="F55" t="e">
        <f t="shared" si="19"/>
        <v>#DIV/0!</v>
      </c>
      <c r="G55" t="e">
        <f t="shared" si="19"/>
        <v>#DIV/0!</v>
      </c>
      <c r="H55" t="e">
        <f t="shared" si="19"/>
        <v>#DIV/0!</v>
      </c>
      <c r="I55" t="e">
        <f t="shared" si="19"/>
        <v>#DIV/0!</v>
      </c>
      <c r="J55" t="e">
        <f t="shared" si="19"/>
        <v>#DIV/0!</v>
      </c>
      <c r="K55" t="e">
        <f t="shared" si="19"/>
        <v>#DIV/0!</v>
      </c>
      <c r="L55" t="e">
        <f t="shared" si="19"/>
        <v>#DIV/0!</v>
      </c>
      <c r="M55" t="e">
        <f t="shared" si="19"/>
        <v>#DIV/0!</v>
      </c>
      <c r="N55" t="e">
        <f t="shared" si="19"/>
        <v>#DIV/0!</v>
      </c>
      <c r="O55" t="e">
        <f t="shared" si="19"/>
        <v>#DIV/0!</v>
      </c>
      <c r="P55" t="e">
        <f t="shared" si="19"/>
        <v>#DIV/0!</v>
      </c>
      <c r="Q55" t="e">
        <f t="shared" si="19"/>
        <v>#DIV/0!</v>
      </c>
    </row>
    <row r="56" spans="2:17" x14ac:dyDescent="0.25">
      <c r="B56" s="23"/>
      <c r="C56" s="23" t="s">
        <v>32</v>
      </c>
      <c r="D56" t="e">
        <f>D54*EXP(-(D$29*12/($D$13*0.7)))</f>
        <v>#DIV/0!</v>
      </c>
      <c r="E56" t="e">
        <f t="shared" ref="E56:Q56" si="20">E54*EXP(-(E$18*12/($D$13*0.7)))</f>
        <v>#DIV/0!</v>
      </c>
      <c r="F56" t="e">
        <f t="shared" si="20"/>
        <v>#DIV/0!</v>
      </c>
      <c r="G56" t="e">
        <f t="shared" si="20"/>
        <v>#DIV/0!</v>
      </c>
      <c r="H56" t="e">
        <f t="shared" si="20"/>
        <v>#DIV/0!</v>
      </c>
      <c r="I56" t="e">
        <f t="shared" si="20"/>
        <v>#DIV/0!</v>
      </c>
      <c r="J56" t="e">
        <f t="shared" si="20"/>
        <v>#DIV/0!</v>
      </c>
      <c r="K56" t="e">
        <f t="shared" si="20"/>
        <v>#DIV/0!</v>
      </c>
      <c r="L56" t="e">
        <f t="shared" si="20"/>
        <v>#DIV/0!</v>
      </c>
      <c r="M56" t="e">
        <f t="shared" si="20"/>
        <v>#DIV/0!</v>
      </c>
      <c r="N56" t="e">
        <f t="shared" si="20"/>
        <v>#DIV/0!</v>
      </c>
      <c r="O56" t="e">
        <f t="shared" si="20"/>
        <v>#DIV/0!</v>
      </c>
      <c r="P56" t="e">
        <f t="shared" si="20"/>
        <v>#DIV/0!</v>
      </c>
      <c r="Q56" t="e">
        <f t="shared" si="20"/>
        <v>#DIV/0!</v>
      </c>
    </row>
    <row r="57" spans="2:17" x14ac:dyDescent="0.25">
      <c r="B57" s="23" t="s">
        <v>29</v>
      </c>
      <c r="C57" s="23">
        <v>72</v>
      </c>
    </row>
    <row r="58" spans="2:17" x14ac:dyDescent="0.25">
      <c r="B58" s="23"/>
      <c r="C58" s="23" t="s">
        <v>30</v>
      </c>
      <c r="D58" t="e">
        <f>$D$35*$D$5/(($D$13*0.7)*(1-EXP(-D$29*$C57/($D$13*0.7))))</f>
        <v>#DIV/0!</v>
      </c>
      <c r="E58" t="e">
        <f t="shared" ref="E58:Q58" si="21">$D$35*$D$5/(($D$13*0.7)*(1-EXP(-E$18*$C57/($D$13*0.7))))</f>
        <v>#DIV/0!</v>
      </c>
      <c r="F58" t="e">
        <f t="shared" si="21"/>
        <v>#DIV/0!</v>
      </c>
      <c r="G58" t="e">
        <f t="shared" si="21"/>
        <v>#DIV/0!</v>
      </c>
      <c r="H58" t="e">
        <f t="shared" si="21"/>
        <v>#DIV/0!</v>
      </c>
      <c r="I58" t="e">
        <f t="shared" si="21"/>
        <v>#DIV/0!</v>
      </c>
      <c r="J58" t="e">
        <f t="shared" si="21"/>
        <v>#DIV/0!</v>
      </c>
      <c r="K58" t="e">
        <f t="shared" si="21"/>
        <v>#DIV/0!</v>
      </c>
      <c r="L58" t="e">
        <f t="shared" si="21"/>
        <v>#DIV/0!</v>
      </c>
      <c r="M58" t="e">
        <f t="shared" si="21"/>
        <v>#DIV/0!</v>
      </c>
      <c r="N58" t="e">
        <f t="shared" si="21"/>
        <v>#DIV/0!</v>
      </c>
      <c r="O58" t="e">
        <f t="shared" si="21"/>
        <v>#DIV/0!</v>
      </c>
      <c r="P58" t="e">
        <f t="shared" si="21"/>
        <v>#DIV/0!</v>
      </c>
      <c r="Q58" t="e">
        <f t="shared" si="21"/>
        <v>#DIV/0!</v>
      </c>
    </row>
    <row r="59" spans="2:17" x14ac:dyDescent="0.25">
      <c r="B59" s="23"/>
      <c r="C59" s="23" t="s">
        <v>31</v>
      </c>
      <c r="D59" t="e">
        <f>D58*EXP(-D$31*$C57)</f>
        <v>#DIV/0!</v>
      </c>
      <c r="E59" t="e">
        <f t="shared" ref="E59:Q59" si="22">E58*EXP(-E$19*$C57)</f>
        <v>#DIV/0!</v>
      </c>
      <c r="F59" t="e">
        <f t="shared" si="22"/>
        <v>#DIV/0!</v>
      </c>
      <c r="G59" t="e">
        <f t="shared" si="22"/>
        <v>#DIV/0!</v>
      </c>
      <c r="H59" t="e">
        <f t="shared" si="22"/>
        <v>#DIV/0!</v>
      </c>
      <c r="I59" t="e">
        <f t="shared" si="22"/>
        <v>#DIV/0!</v>
      </c>
      <c r="J59" t="e">
        <f t="shared" si="22"/>
        <v>#DIV/0!</v>
      </c>
      <c r="K59" t="e">
        <f t="shared" si="22"/>
        <v>#DIV/0!</v>
      </c>
      <c r="L59" t="e">
        <f t="shared" si="22"/>
        <v>#DIV/0!</v>
      </c>
      <c r="M59" t="e">
        <f t="shared" si="22"/>
        <v>#DIV/0!</v>
      </c>
      <c r="N59" t="e">
        <f t="shared" si="22"/>
        <v>#DIV/0!</v>
      </c>
      <c r="O59" t="e">
        <f t="shared" si="22"/>
        <v>#DIV/0!</v>
      </c>
      <c r="P59" t="e">
        <f t="shared" si="22"/>
        <v>#DIV/0!</v>
      </c>
      <c r="Q59" t="e">
        <f t="shared" si="22"/>
        <v>#DIV/0!</v>
      </c>
    </row>
    <row r="60" spans="2:17" x14ac:dyDescent="0.25">
      <c r="B60" s="23"/>
      <c r="C60" s="23" t="s">
        <v>32</v>
      </c>
      <c r="D60" t="e">
        <f>D58*EXP(-(D$29*12/($D$13*0.7)))</f>
        <v>#DIV/0!</v>
      </c>
      <c r="E60" t="e">
        <f t="shared" ref="E60:Q60" si="23">E58*EXP(-(E$18*12/($D$13*0.7)))</f>
        <v>#DIV/0!</v>
      </c>
      <c r="F60" t="e">
        <f t="shared" si="23"/>
        <v>#DIV/0!</v>
      </c>
      <c r="G60" t="e">
        <f t="shared" si="23"/>
        <v>#DIV/0!</v>
      </c>
      <c r="H60" t="e">
        <f t="shared" si="23"/>
        <v>#DIV/0!</v>
      </c>
      <c r="I60" t="e">
        <f t="shared" si="23"/>
        <v>#DIV/0!</v>
      </c>
      <c r="J60" t="e">
        <f t="shared" si="23"/>
        <v>#DIV/0!</v>
      </c>
      <c r="K60" t="e">
        <f t="shared" si="23"/>
        <v>#DIV/0!</v>
      </c>
      <c r="L60" t="e">
        <f t="shared" si="23"/>
        <v>#DIV/0!</v>
      </c>
      <c r="M60" t="e">
        <f t="shared" si="23"/>
        <v>#DIV/0!</v>
      </c>
      <c r="N60" t="e">
        <f t="shared" si="23"/>
        <v>#DIV/0!</v>
      </c>
      <c r="O60" t="e">
        <f t="shared" si="23"/>
        <v>#DIV/0!</v>
      </c>
      <c r="P60" t="e">
        <f t="shared" si="23"/>
        <v>#DIV/0!</v>
      </c>
      <c r="Q60" t="e">
        <f t="shared" si="23"/>
        <v>#DIV/0!</v>
      </c>
    </row>
    <row r="61" spans="2:17" x14ac:dyDescent="0.25">
      <c r="B61" s="23" t="s">
        <v>29</v>
      </c>
      <c r="C61" s="23">
        <v>96</v>
      </c>
    </row>
    <row r="62" spans="2:17" x14ac:dyDescent="0.25">
      <c r="B62" s="23"/>
      <c r="C62" s="23" t="s">
        <v>30</v>
      </c>
      <c r="D62" t="e">
        <f>$D$35*$D$5/(($D$13*0.7)*(1-EXP(-D$29*$C61/($D$13*0.7))))</f>
        <v>#DIV/0!</v>
      </c>
      <c r="E62" t="e">
        <f t="shared" ref="E62:Q62" si="24">$D$35*$D$5/(($D$13*0.7)*(1-EXP(-E$18*$C61/($D$13*0.7))))</f>
        <v>#DIV/0!</v>
      </c>
      <c r="F62" t="e">
        <f t="shared" si="24"/>
        <v>#DIV/0!</v>
      </c>
      <c r="G62" t="e">
        <f t="shared" si="24"/>
        <v>#DIV/0!</v>
      </c>
      <c r="H62" t="e">
        <f t="shared" si="24"/>
        <v>#DIV/0!</v>
      </c>
      <c r="I62" t="e">
        <f t="shared" si="24"/>
        <v>#DIV/0!</v>
      </c>
      <c r="J62" t="e">
        <f t="shared" si="24"/>
        <v>#DIV/0!</v>
      </c>
      <c r="K62" t="e">
        <f t="shared" si="24"/>
        <v>#DIV/0!</v>
      </c>
      <c r="L62" t="e">
        <f t="shared" si="24"/>
        <v>#DIV/0!</v>
      </c>
      <c r="M62" t="e">
        <f t="shared" si="24"/>
        <v>#DIV/0!</v>
      </c>
      <c r="N62" t="e">
        <f t="shared" si="24"/>
        <v>#DIV/0!</v>
      </c>
      <c r="O62" t="e">
        <f t="shared" si="24"/>
        <v>#DIV/0!</v>
      </c>
      <c r="P62" t="e">
        <f t="shared" si="24"/>
        <v>#DIV/0!</v>
      </c>
      <c r="Q62" t="e">
        <f t="shared" si="24"/>
        <v>#DIV/0!</v>
      </c>
    </row>
    <row r="63" spans="2:17" x14ac:dyDescent="0.25">
      <c r="B63" s="23"/>
      <c r="C63" s="23" t="s">
        <v>31</v>
      </c>
      <c r="D63" t="e">
        <f>D62*EXP(-D$31*$C61)</f>
        <v>#DIV/0!</v>
      </c>
      <c r="E63" t="e">
        <f t="shared" ref="E63:Q63" si="25">E62*EXP(-E$19*$C61)</f>
        <v>#DIV/0!</v>
      </c>
      <c r="F63" t="e">
        <f t="shared" si="25"/>
        <v>#DIV/0!</v>
      </c>
      <c r="G63" t="e">
        <f t="shared" si="25"/>
        <v>#DIV/0!</v>
      </c>
      <c r="H63" t="e">
        <f t="shared" si="25"/>
        <v>#DIV/0!</v>
      </c>
      <c r="I63" t="e">
        <f t="shared" si="25"/>
        <v>#DIV/0!</v>
      </c>
      <c r="J63" t="e">
        <f t="shared" si="25"/>
        <v>#DIV/0!</v>
      </c>
      <c r="K63" t="e">
        <f t="shared" si="25"/>
        <v>#DIV/0!</v>
      </c>
      <c r="L63" t="e">
        <f t="shared" si="25"/>
        <v>#DIV/0!</v>
      </c>
      <c r="M63" t="e">
        <f t="shared" si="25"/>
        <v>#DIV/0!</v>
      </c>
      <c r="N63" t="e">
        <f t="shared" si="25"/>
        <v>#DIV/0!</v>
      </c>
      <c r="O63" t="e">
        <f t="shared" si="25"/>
        <v>#DIV/0!</v>
      </c>
      <c r="P63" t="e">
        <f t="shared" si="25"/>
        <v>#DIV/0!</v>
      </c>
      <c r="Q63" t="e">
        <f t="shared" si="25"/>
        <v>#DIV/0!</v>
      </c>
    </row>
    <row r="64" spans="2:17" x14ac:dyDescent="0.25">
      <c r="B64" s="23"/>
      <c r="C64" s="23" t="s">
        <v>32</v>
      </c>
      <c r="D64" t="e">
        <f>D62*EXP(-(D$29*12/($D$13*0.7)))</f>
        <v>#DIV/0!</v>
      </c>
      <c r="E64" t="e">
        <f t="shared" ref="E64:Q64" si="26">E62*EXP(-(E$18*12/($D$13*0.7)))</f>
        <v>#DIV/0!</v>
      </c>
      <c r="F64" t="e">
        <f t="shared" si="26"/>
        <v>#DIV/0!</v>
      </c>
      <c r="G64" t="e">
        <f t="shared" si="26"/>
        <v>#DIV/0!</v>
      </c>
      <c r="H64" t="e">
        <f t="shared" si="26"/>
        <v>#DIV/0!</v>
      </c>
      <c r="I64" t="e">
        <f t="shared" si="26"/>
        <v>#DIV/0!</v>
      </c>
      <c r="J64" t="e">
        <f t="shared" si="26"/>
        <v>#DIV/0!</v>
      </c>
      <c r="K64" t="e">
        <f t="shared" si="26"/>
        <v>#DIV/0!</v>
      </c>
      <c r="L64" t="e">
        <f t="shared" si="26"/>
        <v>#DIV/0!</v>
      </c>
      <c r="M64" t="e">
        <f t="shared" si="26"/>
        <v>#DIV/0!</v>
      </c>
      <c r="N64" t="e">
        <f t="shared" si="26"/>
        <v>#DIV/0!</v>
      </c>
      <c r="O64" t="e">
        <f t="shared" si="26"/>
        <v>#DIV/0!</v>
      </c>
      <c r="P64" t="e">
        <f t="shared" si="26"/>
        <v>#DIV/0!</v>
      </c>
      <c r="Q64" t="e">
        <f t="shared" si="26"/>
        <v>#DIV/0!</v>
      </c>
    </row>
    <row r="65" spans="2:17" x14ac:dyDescent="0.25">
      <c r="B65" s="23" t="s">
        <v>29</v>
      </c>
      <c r="C65" s="23">
        <v>120</v>
      </c>
    </row>
    <row r="66" spans="2:17" x14ac:dyDescent="0.25">
      <c r="B66" s="23"/>
      <c r="C66" s="23" t="s">
        <v>30</v>
      </c>
      <c r="D66" t="e">
        <f>$D$35*$D$5/(($D$13*0.7)*(1-EXP(-D$29*$C65/($D$13*0.7))))</f>
        <v>#DIV/0!</v>
      </c>
      <c r="E66" t="e">
        <f t="shared" ref="E66:Q66" si="27">$D$35*$D$5/(($D$13*0.7)*(1-EXP(-E$18*$C65/($D$13*0.7))))</f>
        <v>#DIV/0!</v>
      </c>
      <c r="F66" t="e">
        <f t="shared" si="27"/>
        <v>#DIV/0!</v>
      </c>
      <c r="G66" t="e">
        <f t="shared" si="27"/>
        <v>#DIV/0!</v>
      </c>
      <c r="H66" t="e">
        <f t="shared" si="27"/>
        <v>#DIV/0!</v>
      </c>
      <c r="I66" t="e">
        <f t="shared" si="27"/>
        <v>#DIV/0!</v>
      </c>
      <c r="J66" t="e">
        <f t="shared" si="27"/>
        <v>#DIV/0!</v>
      </c>
      <c r="K66" t="e">
        <f t="shared" si="27"/>
        <v>#DIV/0!</v>
      </c>
      <c r="L66" t="e">
        <f t="shared" si="27"/>
        <v>#DIV/0!</v>
      </c>
      <c r="M66" t="e">
        <f t="shared" si="27"/>
        <v>#DIV/0!</v>
      </c>
      <c r="N66" t="e">
        <f t="shared" si="27"/>
        <v>#DIV/0!</v>
      </c>
      <c r="O66" t="e">
        <f t="shared" si="27"/>
        <v>#DIV/0!</v>
      </c>
      <c r="P66" t="e">
        <f t="shared" si="27"/>
        <v>#DIV/0!</v>
      </c>
      <c r="Q66" t="e">
        <f t="shared" si="27"/>
        <v>#DIV/0!</v>
      </c>
    </row>
    <row r="67" spans="2:17" x14ac:dyDescent="0.25">
      <c r="B67" s="23"/>
      <c r="C67" s="23" t="s">
        <v>31</v>
      </c>
      <c r="D67" t="e">
        <f>D66*EXP(-D$31*$C65)</f>
        <v>#DIV/0!</v>
      </c>
      <c r="E67" t="e">
        <f t="shared" ref="E67:Q67" si="28">E66*EXP(-E$19*$C65)</f>
        <v>#DIV/0!</v>
      </c>
      <c r="F67" t="e">
        <f t="shared" si="28"/>
        <v>#DIV/0!</v>
      </c>
      <c r="G67" t="e">
        <f t="shared" si="28"/>
        <v>#DIV/0!</v>
      </c>
      <c r="H67" t="e">
        <f t="shared" si="28"/>
        <v>#DIV/0!</v>
      </c>
      <c r="I67" t="e">
        <f t="shared" si="28"/>
        <v>#DIV/0!</v>
      </c>
      <c r="J67" t="e">
        <f t="shared" si="28"/>
        <v>#DIV/0!</v>
      </c>
      <c r="K67" t="e">
        <f t="shared" si="28"/>
        <v>#DIV/0!</v>
      </c>
      <c r="L67" t="e">
        <f t="shared" si="28"/>
        <v>#DIV/0!</v>
      </c>
      <c r="M67" t="e">
        <f t="shared" si="28"/>
        <v>#DIV/0!</v>
      </c>
      <c r="N67" t="e">
        <f t="shared" si="28"/>
        <v>#DIV/0!</v>
      </c>
      <c r="O67" t="e">
        <f t="shared" si="28"/>
        <v>#DIV/0!</v>
      </c>
      <c r="P67" t="e">
        <f t="shared" si="28"/>
        <v>#DIV/0!</v>
      </c>
      <c r="Q67" t="e">
        <f t="shared" si="28"/>
        <v>#DIV/0!</v>
      </c>
    </row>
    <row r="68" spans="2:17" x14ac:dyDescent="0.25">
      <c r="B68" s="23"/>
      <c r="C68" s="23" t="s">
        <v>32</v>
      </c>
      <c r="D68" t="e">
        <f>D66*EXP(-(D$29*12/($D$13*0.7)))</f>
        <v>#DIV/0!</v>
      </c>
      <c r="E68" t="e">
        <f t="shared" ref="E68:Q68" si="29">E66*EXP(-(E$18*12/($D$13*0.7)))</f>
        <v>#DIV/0!</v>
      </c>
      <c r="F68" t="e">
        <f t="shared" si="29"/>
        <v>#DIV/0!</v>
      </c>
      <c r="G68" t="e">
        <f t="shared" si="29"/>
        <v>#DIV/0!</v>
      </c>
      <c r="H68" t="e">
        <f t="shared" si="29"/>
        <v>#DIV/0!</v>
      </c>
      <c r="I68" t="e">
        <f t="shared" si="29"/>
        <v>#DIV/0!</v>
      </c>
      <c r="J68" t="e">
        <f t="shared" si="29"/>
        <v>#DIV/0!</v>
      </c>
      <c r="K68" t="e">
        <f t="shared" si="29"/>
        <v>#DIV/0!</v>
      </c>
      <c r="L68" t="e">
        <f t="shared" si="29"/>
        <v>#DIV/0!</v>
      </c>
      <c r="M68" t="e">
        <f t="shared" si="29"/>
        <v>#DIV/0!</v>
      </c>
      <c r="N68" t="e">
        <f t="shared" si="29"/>
        <v>#DIV/0!</v>
      </c>
      <c r="O68" t="e">
        <f t="shared" si="29"/>
        <v>#DIV/0!</v>
      </c>
      <c r="P68" t="e">
        <f t="shared" si="29"/>
        <v>#DIV/0!</v>
      </c>
      <c r="Q68" t="e">
        <f t="shared" si="29"/>
        <v>#DIV/0!</v>
      </c>
    </row>
    <row r="69" spans="2:17" x14ac:dyDescent="0.25">
      <c r="B69" s="23"/>
      <c r="C69" s="23"/>
      <c r="H69" t="s">
        <v>33</v>
      </c>
    </row>
    <row r="70" spans="2:17" x14ac:dyDescent="0.25">
      <c r="B70" s="23"/>
      <c r="C70" s="23"/>
    </row>
    <row r="71" spans="2:17" x14ac:dyDescent="0.25">
      <c r="B71" s="23"/>
      <c r="C71" s="23"/>
    </row>
    <row r="72" spans="2:17" x14ac:dyDescent="0.25">
      <c r="B72" s="23"/>
      <c r="C72" s="23"/>
      <c r="E72" s="23" t="s">
        <v>34</v>
      </c>
    </row>
    <row r="73" spans="2:17" x14ac:dyDescent="0.25">
      <c r="B73" s="23"/>
      <c r="C73" s="23"/>
      <c r="E73" s="23" t="s">
        <v>135</v>
      </c>
    </row>
    <row r="74" spans="2:17" x14ac:dyDescent="0.25">
      <c r="B74" s="23"/>
      <c r="C74" s="23"/>
      <c r="E74" s="23" t="s">
        <v>36</v>
      </c>
    </row>
    <row r="75" spans="2:17" x14ac:dyDescent="0.25">
      <c r="B75" s="23"/>
      <c r="C75" s="23" t="s">
        <v>37</v>
      </c>
    </row>
    <row r="76" spans="2:17" x14ac:dyDescent="0.25">
      <c r="B76" s="23"/>
      <c r="C76" s="23" t="s">
        <v>38</v>
      </c>
      <c r="D76" s="23" t="e">
        <f>IF(ISNUMBER(D30),"",D17)</f>
        <v>#DIV/0!</v>
      </c>
      <c r="E76" s="23">
        <v>120</v>
      </c>
      <c r="F76" s="23">
        <v>110</v>
      </c>
      <c r="G76" s="23">
        <v>100</v>
      </c>
      <c r="H76" s="23">
        <v>90</v>
      </c>
      <c r="I76" s="23">
        <v>80</v>
      </c>
      <c r="J76" s="23">
        <v>70</v>
      </c>
      <c r="K76" s="23">
        <v>60</v>
      </c>
      <c r="L76" s="23">
        <v>50</v>
      </c>
      <c r="M76" s="23">
        <v>40</v>
      </c>
      <c r="N76" s="23">
        <v>30</v>
      </c>
      <c r="O76" s="23">
        <v>20</v>
      </c>
      <c r="P76" s="23">
        <v>10</v>
      </c>
      <c r="Q76" s="23">
        <v>5</v>
      </c>
    </row>
    <row r="77" spans="2:17" x14ac:dyDescent="0.25">
      <c r="B77" s="23"/>
      <c r="C77" s="23" t="s">
        <v>25</v>
      </c>
      <c r="D77" s="17" t="e">
        <f>D29</f>
        <v>#DIV/0!</v>
      </c>
      <c r="E77">
        <f t="shared" ref="E77:Q77" si="30">0.25*E17*60/1000</f>
        <v>1.8</v>
      </c>
      <c r="F77">
        <f t="shared" si="30"/>
        <v>1.65</v>
      </c>
      <c r="G77">
        <f t="shared" si="30"/>
        <v>1.5</v>
      </c>
      <c r="H77">
        <f t="shared" si="30"/>
        <v>1.35</v>
      </c>
      <c r="I77">
        <f t="shared" si="30"/>
        <v>1.2</v>
      </c>
      <c r="J77">
        <f t="shared" si="30"/>
        <v>1.05</v>
      </c>
      <c r="K77">
        <f t="shared" si="30"/>
        <v>0.9</v>
      </c>
      <c r="L77">
        <f t="shared" si="30"/>
        <v>0.75</v>
      </c>
      <c r="M77">
        <f t="shared" si="30"/>
        <v>0.6</v>
      </c>
      <c r="N77">
        <f t="shared" si="30"/>
        <v>0.45</v>
      </c>
      <c r="O77">
        <f t="shared" si="30"/>
        <v>0.3</v>
      </c>
      <c r="P77">
        <f t="shared" si="30"/>
        <v>0.15</v>
      </c>
      <c r="Q77">
        <f t="shared" si="30"/>
        <v>7.4999999999999997E-2</v>
      </c>
    </row>
    <row r="78" spans="2:17" x14ac:dyDescent="0.25">
      <c r="B78" s="23"/>
      <c r="C78" s="23" t="s">
        <v>39</v>
      </c>
      <c r="D78" s="17" t="e">
        <f>0.693/(D77/($D$13*0.7))</f>
        <v>#DIV/0!</v>
      </c>
      <c r="E78" s="17" t="e">
        <f>0.693/(E77/($D$13*0.7))</f>
        <v>#DIV/0!</v>
      </c>
      <c r="F78" s="17" t="e">
        <f>0.693/(F77/($D$13*0.7))</f>
        <v>#DIV/0!</v>
      </c>
      <c r="G78" s="17" t="e">
        <f t="shared" ref="G78:Q78" si="31">0.693/(G77/($D$13*0.7))</f>
        <v>#DIV/0!</v>
      </c>
      <c r="H78" s="17" t="e">
        <f t="shared" si="31"/>
        <v>#DIV/0!</v>
      </c>
      <c r="I78" s="17" t="e">
        <f t="shared" si="31"/>
        <v>#DIV/0!</v>
      </c>
      <c r="J78" s="17" t="e">
        <f t="shared" si="31"/>
        <v>#DIV/0!</v>
      </c>
      <c r="K78" s="17" t="e">
        <f t="shared" si="31"/>
        <v>#DIV/0!</v>
      </c>
      <c r="L78" s="17" t="e">
        <f t="shared" si="31"/>
        <v>#DIV/0!</v>
      </c>
      <c r="M78" s="17" t="e">
        <f t="shared" si="31"/>
        <v>#DIV/0!</v>
      </c>
      <c r="N78" s="17" t="e">
        <f t="shared" si="31"/>
        <v>#DIV/0!</v>
      </c>
      <c r="O78" s="17" t="e">
        <f t="shared" si="31"/>
        <v>#DIV/0!</v>
      </c>
      <c r="P78" s="17" t="e">
        <f t="shared" si="31"/>
        <v>#DIV/0!</v>
      </c>
      <c r="Q78" s="17" t="e">
        <f t="shared" si="31"/>
        <v>#DIV/0!</v>
      </c>
    </row>
    <row r="79" spans="2:17" x14ac:dyDescent="0.25">
      <c r="B79" s="23"/>
      <c r="C79" s="23" t="s">
        <v>40</v>
      </c>
      <c r="D79" s="17" t="e">
        <f>D78*5/$C80</f>
        <v>#DIV/0!</v>
      </c>
      <c r="E79" s="17" t="e">
        <f t="shared" ref="E79:P79" si="32">E78*5/$C80</f>
        <v>#DIV/0!</v>
      </c>
      <c r="F79" s="17" t="e">
        <f t="shared" si="32"/>
        <v>#DIV/0!</v>
      </c>
      <c r="G79" s="17" t="e">
        <f t="shared" si="32"/>
        <v>#DIV/0!</v>
      </c>
      <c r="H79" s="17" t="e">
        <f t="shared" si="32"/>
        <v>#DIV/0!</v>
      </c>
      <c r="I79" s="17" t="e">
        <f t="shared" si="32"/>
        <v>#DIV/0!</v>
      </c>
      <c r="J79" s="17" t="e">
        <f t="shared" si="32"/>
        <v>#DIV/0!</v>
      </c>
      <c r="K79" s="17" t="e">
        <f t="shared" si="32"/>
        <v>#DIV/0!</v>
      </c>
      <c r="L79" s="17" t="e">
        <f t="shared" si="32"/>
        <v>#DIV/0!</v>
      </c>
      <c r="M79" s="17" t="e">
        <f t="shared" si="32"/>
        <v>#DIV/0!</v>
      </c>
      <c r="N79" s="17" t="e">
        <f t="shared" si="32"/>
        <v>#DIV/0!</v>
      </c>
      <c r="O79" s="17" t="e">
        <f t="shared" si="32"/>
        <v>#DIV/0!</v>
      </c>
      <c r="P79" s="17" t="e">
        <f t="shared" si="32"/>
        <v>#DIV/0!</v>
      </c>
      <c r="Q79" s="17" t="e">
        <f>Q78*5/$C80</f>
        <v>#DIV/0!</v>
      </c>
    </row>
    <row r="80" spans="2:17" x14ac:dyDescent="0.25">
      <c r="B80" s="24" t="s">
        <v>41</v>
      </c>
      <c r="C80" s="34"/>
    </row>
    <row r="81" spans="2:17" x14ac:dyDescent="0.25">
      <c r="B81" s="23" t="s">
        <v>42</v>
      </c>
      <c r="C81" s="23" t="s">
        <v>30</v>
      </c>
      <c r="D81" s="21" t="e">
        <f t="shared" ref="D81:Q81" si="33">$D$35*$D$5/($D$13*0.7)</f>
        <v>#DIV/0!</v>
      </c>
      <c r="E81" s="21" t="e">
        <f t="shared" si="33"/>
        <v>#DIV/0!</v>
      </c>
      <c r="F81" s="21" t="e">
        <f t="shared" si="33"/>
        <v>#DIV/0!</v>
      </c>
      <c r="G81" s="21" t="e">
        <f t="shared" si="33"/>
        <v>#DIV/0!</v>
      </c>
      <c r="H81" s="21" t="e">
        <f t="shared" si="33"/>
        <v>#DIV/0!</v>
      </c>
      <c r="I81" s="21" t="e">
        <f t="shared" si="33"/>
        <v>#DIV/0!</v>
      </c>
      <c r="J81" s="21" t="e">
        <f t="shared" si="33"/>
        <v>#DIV/0!</v>
      </c>
      <c r="K81" s="21" t="e">
        <f t="shared" si="33"/>
        <v>#DIV/0!</v>
      </c>
      <c r="L81" s="21" t="e">
        <f t="shared" si="33"/>
        <v>#DIV/0!</v>
      </c>
      <c r="M81" s="21" t="e">
        <f t="shared" si="33"/>
        <v>#DIV/0!</v>
      </c>
      <c r="N81" s="21" t="e">
        <f t="shared" si="33"/>
        <v>#DIV/0!</v>
      </c>
      <c r="O81" s="21" t="e">
        <f t="shared" si="33"/>
        <v>#DIV/0!</v>
      </c>
      <c r="P81" s="21" t="e">
        <f t="shared" si="33"/>
        <v>#DIV/0!</v>
      </c>
      <c r="Q81" s="21" t="e">
        <f t="shared" si="33"/>
        <v>#DIV/0!</v>
      </c>
    </row>
    <row r="82" spans="2:17" x14ac:dyDescent="0.25">
      <c r="B82" s="23" t="s">
        <v>42</v>
      </c>
      <c r="C82" s="23" t="s">
        <v>43</v>
      </c>
      <c r="D82" s="21" t="e">
        <f>D81*EXP(-D$29/($D$13*0.7)*12)</f>
        <v>#DIV/0!</v>
      </c>
      <c r="E82" s="21" t="e">
        <f t="shared" ref="E82:Q82" si="34">E81*EXP(-E$18/($D$13*0.7)*12)</f>
        <v>#DIV/0!</v>
      </c>
      <c r="F82" s="21" t="e">
        <f t="shared" si="34"/>
        <v>#DIV/0!</v>
      </c>
      <c r="G82" s="21" t="e">
        <f t="shared" si="34"/>
        <v>#DIV/0!</v>
      </c>
      <c r="H82" s="21" t="e">
        <f t="shared" si="34"/>
        <v>#DIV/0!</v>
      </c>
      <c r="I82" s="21" t="e">
        <f t="shared" si="34"/>
        <v>#DIV/0!</v>
      </c>
      <c r="J82" s="21" t="e">
        <f t="shared" si="34"/>
        <v>#DIV/0!</v>
      </c>
      <c r="K82" s="21" t="e">
        <f t="shared" si="34"/>
        <v>#DIV/0!</v>
      </c>
      <c r="L82" s="21" t="e">
        <f t="shared" si="34"/>
        <v>#DIV/0!</v>
      </c>
      <c r="M82" s="21" t="e">
        <f t="shared" si="34"/>
        <v>#DIV/0!</v>
      </c>
      <c r="N82" s="21" t="e">
        <f t="shared" si="34"/>
        <v>#DIV/0!</v>
      </c>
      <c r="O82" s="21" t="e">
        <f t="shared" si="34"/>
        <v>#DIV/0!</v>
      </c>
      <c r="P82" s="21" t="e">
        <f t="shared" si="34"/>
        <v>#DIV/0!</v>
      </c>
      <c r="Q82" s="21" t="e">
        <f t="shared" si="34"/>
        <v>#DIV/0!</v>
      </c>
    </row>
    <row r="83" spans="2:17" x14ac:dyDescent="0.25">
      <c r="B83" s="23" t="s">
        <v>44</v>
      </c>
      <c r="C83" s="23" t="s">
        <v>45</v>
      </c>
      <c r="D83" s="21" t="e">
        <f>D81*EXP(-D$29/(0.7*$D$13)*$C$80)</f>
        <v>#DIV/0!</v>
      </c>
      <c r="E83" s="21" t="e">
        <f t="shared" ref="E83:Q83" si="35">E81*EXP(-E$18/(0.7*$D$13)*$C$80)</f>
        <v>#DIV/0!</v>
      </c>
      <c r="F83" s="21" t="e">
        <f t="shared" si="35"/>
        <v>#DIV/0!</v>
      </c>
      <c r="G83" s="21" t="e">
        <f t="shared" si="35"/>
        <v>#DIV/0!</v>
      </c>
      <c r="H83" s="21" t="e">
        <f t="shared" si="35"/>
        <v>#DIV/0!</v>
      </c>
      <c r="I83" s="21" t="e">
        <f t="shared" si="35"/>
        <v>#DIV/0!</v>
      </c>
      <c r="J83" s="21" t="e">
        <f t="shared" si="35"/>
        <v>#DIV/0!</v>
      </c>
      <c r="K83" s="21" t="e">
        <f t="shared" si="35"/>
        <v>#DIV/0!</v>
      </c>
      <c r="L83" s="21" t="e">
        <f t="shared" si="35"/>
        <v>#DIV/0!</v>
      </c>
      <c r="M83" s="21" t="e">
        <f t="shared" si="35"/>
        <v>#DIV/0!</v>
      </c>
      <c r="N83" s="21" t="e">
        <f t="shared" si="35"/>
        <v>#DIV/0!</v>
      </c>
      <c r="O83" s="21" t="e">
        <f t="shared" si="35"/>
        <v>#DIV/0!</v>
      </c>
      <c r="P83" s="21" t="e">
        <f t="shared" si="35"/>
        <v>#DIV/0!</v>
      </c>
      <c r="Q83" s="21" t="e">
        <f t="shared" si="35"/>
        <v>#DIV/0!</v>
      </c>
    </row>
    <row r="84" spans="2:17" x14ac:dyDescent="0.25">
      <c r="B84" s="23" t="s">
        <v>44</v>
      </c>
      <c r="C84" s="23" t="s">
        <v>30</v>
      </c>
      <c r="D84" s="21" t="e">
        <f>D83+D$81</f>
        <v>#DIV/0!</v>
      </c>
      <c r="E84" s="21" t="e">
        <f t="shared" ref="E84:Q84" si="36">E83+E$81</f>
        <v>#DIV/0!</v>
      </c>
      <c r="F84" s="21" t="e">
        <f t="shared" si="36"/>
        <v>#DIV/0!</v>
      </c>
      <c r="G84" s="21" t="e">
        <f t="shared" si="36"/>
        <v>#DIV/0!</v>
      </c>
      <c r="H84" s="21" t="e">
        <f t="shared" si="36"/>
        <v>#DIV/0!</v>
      </c>
      <c r="I84" s="21" t="e">
        <f t="shared" si="36"/>
        <v>#DIV/0!</v>
      </c>
      <c r="J84" s="21" t="e">
        <f t="shared" si="36"/>
        <v>#DIV/0!</v>
      </c>
      <c r="K84" s="21" t="e">
        <f t="shared" si="36"/>
        <v>#DIV/0!</v>
      </c>
      <c r="L84" s="21" t="e">
        <f t="shared" si="36"/>
        <v>#DIV/0!</v>
      </c>
      <c r="M84" s="21" t="e">
        <f t="shared" si="36"/>
        <v>#DIV/0!</v>
      </c>
      <c r="N84" s="21" t="e">
        <f t="shared" si="36"/>
        <v>#DIV/0!</v>
      </c>
      <c r="O84" s="21" t="e">
        <f t="shared" si="36"/>
        <v>#DIV/0!</v>
      </c>
      <c r="P84" s="21" t="e">
        <f t="shared" si="36"/>
        <v>#DIV/0!</v>
      </c>
      <c r="Q84" s="21" t="e">
        <f t="shared" si="36"/>
        <v>#DIV/0!</v>
      </c>
    </row>
    <row r="85" spans="2:17" x14ac:dyDescent="0.25">
      <c r="B85" s="23" t="s">
        <v>44</v>
      </c>
      <c r="C85" s="23" t="s">
        <v>43</v>
      </c>
      <c r="D85" s="21" t="e">
        <f>D84*EXP(-D$29/($D$13*0.7)*12)</f>
        <v>#DIV/0!</v>
      </c>
      <c r="E85" s="21" t="e">
        <f t="shared" ref="E85:Q85" si="37">E84*EXP(-E$18/($D$13*0.7)*12)</f>
        <v>#DIV/0!</v>
      </c>
      <c r="F85" s="21" t="e">
        <f t="shared" si="37"/>
        <v>#DIV/0!</v>
      </c>
      <c r="G85" s="21" t="e">
        <f t="shared" si="37"/>
        <v>#DIV/0!</v>
      </c>
      <c r="H85" s="21" t="e">
        <f t="shared" si="37"/>
        <v>#DIV/0!</v>
      </c>
      <c r="I85" s="21" t="e">
        <f t="shared" si="37"/>
        <v>#DIV/0!</v>
      </c>
      <c r="J85" s="21" t="e">
        <f t="shared" si="37"/>
        <v>#DIV/0!</v>
      </c>
      <c r="K85" s="21" t="e">
        <f t="shared" si="37"/>
        <v>#DIV/0!</v>
      </c>
      <c r="L85" s="21" t="e">
        <f t="shared" si="37"/>
        <v>#DIV/0!</v>
      </c>
      <c r="M85" s="21" t="e">
        <f t="shared" si="37"/>
        <v>#DIV/0!</v>
      </c>
      <c r="N85" s="21" t="e">
        <f t="shared" si="37"/>
        <v>#DIV/0!</v>
      </c>
      <c r="O85" s="21" t="e">
        <f t="shared" si="37"/>
        <v>#DIV/0!</v>
      </c>
      <c r="P85" s="21" t="e">
        <f t="shared" si="37"/>
        <v>#DIV/0!</v>
      </c>
      <c r="Q85" s="21" t="e">
        <f t="shared" si="37"/>
        <v>#DIV/0!</v>
      </c>
    </row>
    <row r="86" spans="2:17" x14ac:dyDescent="0.25">
      <c r="B86" s="23" t="s">
        <v>46</v>
      </c>
      <c r="C86" s="23" t="s">
        <v>47</v>
      </c>
      <c r="D86" s="21" t="e">
        <f>D84*EXP(-D$29/(0.7*$D$13)*$C$80)</f>
        <v>#DIV/0!</v>
      </c>
      <c r="E86" s="21" t="e">
        <f t="shared" ref="E86:Q86" si="38">E84*EXP(-E$18/(0.7*$D$13)*$C$80)</f>
        <v>#DIV/0!</v>
      </c>
      <c r="F86" s="21" t="e">
        <f t="shared" si="38"/>
        <v>#DIV/0!</v>
      </c>
      <c r="G86" s="21" t="e">
        <f t="shared" si="38"/>
        <v>#DIV/0!</v>
      </c>
      <c r="H86" s="21" t="e">
        <f t="shared" si="38"/>
        <v>#DIV/0!</v>
      </c>
      <c r="I86" s="21" t="e">
        <f t="shared" si="38"/>
        <v>#DIV/0!</v>
      </c>
      <c r="J86" s="21" t="e">
        <f t="shared" si="38"/>
        <v>#DIV/0!</v>
      </c>
      <c r="K86" s="21" t="e">
        <f t="shared" si="38"/>
        <v>#DIV/0!</v>
      </c>
      <c r="L86" s="21" t="e">
        <f t="shared" si="38"/>
        <v>#DIV/0!</v>
      </c>
      <c r="M86" s="21" t="e">
        <f t="shared" si="38"/>
        <v>#DIV/0!</v>
      </c>
      <c r="N86" s="21" t="e">
        <f t="shared" si="38"/>
        <v>#DIV/0!</v>
      </c>
      <c r="O86" s="21" t="e">
        <f t="shared" si="38"/>
        <v>#DIV/0!</v>
      </c>
      <c r="P86" s="21" t="e">
        <f t="shared" si="38"/>
        <v>#DIV/0!</v>
      </c>
      <c r="Q86" s="21" t="e">
        <f t="shared" si="38"/>
        <v>#DIV/0!</v>
      </c>
    </row>
    <row r="87" spans="2:17" x14ac:dyDescent="0.25">
      <c r="B87" s="23" t="s">
        <v>46</v>
      </c>
      <c r="C87" s="23" t="s">
        <v>30</v>
      </c>
      <c r="D87" s="21" t="e">
        <f>D86+D$81</f>
        <v>#DIV/0!</v>
      </c>
      <c r="E87" s="21" t="e">
        <f>E86+E$81</f>
        <v>#DIV/0!</v>
      </c>
      <c r="F87" s="21" t="e">
        <f t="shared" ref="F87:Q87" si="39">F86+F$81</f>
        <v>#DIV/0!</v>
      </c>
      <c r="G87" s="21" t="e">
        <f t="shared" si="39"/>
        <v>#DIV/0!</v>
      </c>
      <c r="H87" s="21" t="e">
        <f t="shared" si="39"/>
        <v>#DIV/0!</v>
      </c>
      <c r="I87" s="21" t="e">
        <f t="shared" si="39"/>
        <v>#DIV/0!</v>
      </c>
      <c r="J87" s="21" t="e">
        <f t="shared" si="39"/>
        <v>#DIV/0!</v>
      </c>
      <c r="K87" s="21" t="e">
        <f t="shared" si="39"/>
        <v>#DIV/0!</v>
      </c>
      <c r="L87" s="21" t="e">
        <f t="shared" si="39"/>
        <v>#DIV/0!</v>
      </c>
      <c r="M87" s="21" t="e">
        <f t="shared" si="39"/>
        <v>#DIV/0!</v>
      </c>
      <c r="N87" s="21" t="e">
        <f t="shared" si="39"/>
        <v>#DIV/0!</v>
      </c>
      <c r="O87" s="21" t="e">
        <f t="shared" si="39"/>
        <v>#DIV/0!</v>
      </c>
      <c r="P87" s="21" t="e">
        <f t="shared" si="39"/>
        <v>#DIV/0!</v>
      </c>
      <c r="Q87" s="21" t="e">
        <f t="shared" si="39"/>
        <v>#DIV/0!</v>
      </c>
    </row>
    <row r="88" spans="2:17" x14ac:dyDescent="0.25">
      <c r="B88" s="23" t="s">
        <v>46</v>
      </c>
      <c r="C88" s="23" t="s">
        <v>43</v>
      </c>
      <c r="D88" s="21" t="e">
        <f>D87*EXP(-D$29/($D$13*0.7)*12)</f>
        <v>#DIV/0!</v>
      </c>
      <c r="E88" s="21" t="e">
        <f t="shared" ref="E88:Q88" si="40">E87*EXP(-E$18/($D$13*0.7)*12)</f>
        <v>#DIV/0!</v>
      </c>
      <c r="F88" s="21" t="e">
        <f t="shared" si="40"/>
        <v>#DIV/0!</v>
      </c>
      <c r="G88" s="21" t="e">
        <f t="shared" si="40"/>
        <v>#DIV/0!</v>
      </c>
      <c r="H88" s="21" t="e">
        <f t="shared" si="40"/>
        <v>#DIV/0!</v>
      </c>
      <c r="I88" s="21" t="e">
        <f t="shared" si="40"/>
        <v>#DIV/0!</v>
      </c>
      <c r="J88" s="21" t="e">
        <f t="shared" si="40"/>
        <v>#DIV/0!</v>
      </c>
      <c r="K88" s="21" t="e">
        <f t="shared" si="40"/>
        <v>#DIV/0!</v>
      </c>
      <c r="L88" s="21" t="e">
        <f t="shared" si="40"/>
        <v>#DIV/0!</v>
      </c>
      <c r="M88" s="21" t="e">
        <f t="shared" si="40"/>
        <v>#DIV/0!</v>
      </c>
      <c r="N88" s="21" t="e">
        <f t="shared" si="40"/>
        <v>#DIV/0!</v>
      </c>
      <c r="O88" s="21" t="e">
        <f t="shared" si="40"/>
        <v>#DIV/0!</v>
      </c>
      <c r="P88" s="21" t="e">
        <f t="shared" si="40"/>
        <v>#DIV/0!</v>
      </c>
      <c r="Q88" s="21" t="e">
        <f t="shared" si="40"/>
        <v>#DIV/0!</v>
      </c>
    </row>
    <row r="89" spans="2:17" x14ac:dyDescent="0.25">
      <c r="B89" s="23" t="s">
        <v>48</v>
      </c>
      <c r="C89" s="23" t="s">
        <v>47</v>
      </c>
      <c r="D89" s="21" t="e">
        <f>D87*EXP(-D$29/(0.7*$D$13)*$C$80)</f>
        <v>#DIV/0!</v>
      </c>
      <c r="E89" s="21" t="e">
        <f t="shared" ref="E89:Q89" si="41">E87*EXP(-E$18/(0.7*$D$13)*$C$80)</f>
        <v>#DIV/0!</v>
      </c>
      <c r="F89" s="21" t="e">
        <f t="shared" si="41"/>
        <v>#DIV/0!</v>
      </c>
      <c r="G89" s="21" t="e">
        <f t="shared" si="41"/>
        <v>#DIV/0!</v>
      </c>
      <c r="H89" s="21" t="e">
        <f t="shared" si="41"/>
        <v>#DIV/0!</v>
      </c>
      <c r="I89" s="21" t="e">
        <f t="shared" si="41"/>
        <v>#DIV/0!</v>
      </c>
      <c r="J89" s="21" t="e">
        <f t="shared" si="41"/>
        <v>#DIV/0!</v>
      </c>
      <c r="K89" s="21" t="e">
        <f t="shared" si="41"/>
        <v>#DIV/0!</v>
      </c>
      <c r="L89" s="21" t="e">
        <f t="shared" si="41"/>
        <v>#DIV/0!</v>
      </c>
      <c r="M89" s="21" t="e">
        <f t="shared" si="41"/>
        <v>#DIV/0!</v>
      </c>
      <c r="N89" s="21" t="e">
        <f t="shared" si="41"/>
        <v>#DIV/0!</v>
      </c>
      <c r="O89" s="21" t="e">
        <f t="shared" si="41"/>
        <v>#DIV/0!</v>
      </c>
      <c r="P89" s="21" t="e">
        <f t="shared" si="41"/>
        <v>#DIV/0!</v>
      </c>
      <c r="Q89" s="21" t="e">
        <f t="shared" si="41"/>
        <v>#DIV/0!</v>
      </c>
    </row>
    <row r="90" spans="2:17" x14ac:dyDescent="0.25">
      <c r="B90" s="23" t="s">
        <v>48</v>
      </c>
      <c r="C90" s="23" t="s">
        <v>30</v>
      </c>
      <c r="D90" s="21" t="e">
        <f>D89+D$81</f>
        <v>#DIV/0!</v>
      </c>
      <c r="E90" s="21" t="e">
        <f>E89+E$81</f>
        <v>#DIV/0!</v>
      </c>
      <c r="F90" s="21" t="e">
        <f t="shared" ref="F90:Q90" si="42">F89+F$81</f>
        <v>#DIV/0!</v>
      </c>
      <c r="G90" s="21" t="e">
        <f t="shared" si="42"/>
        <v>#DIV/0!</v>
      </c>
      <c r="H90" s="21" t="e">
        <f t="shared" si="42"/>
        <v>#DIV/0!</v>
      </c>
      <c r="I90" s="21" t="e">
        <f t="shared" si="42"/>
        <v>#DIV/0!</v>
      </c>
      <c r="J90" s="21" t="e">
        <f t="shared" si="42"/>
        <v>#DIV/0!</v>
      </c>
      <c r="K90" s="21" t="e">
        <f t="shared" si="42"/>
        <v>#DIV/0!</v>
      </c>
      <c r="L90" s="21" t="e">
        <f t="shared" si="42"/>
        <v>#DIV/0!</v>
      </c>
      <c r="M90" s="21" t="e">
        <f t="shared" si="42"/>
        <v>#DIV/0!</v>
      </c>
      <c r="N90" s="21" t="e">
        <f t="shared" si="42"/>
        <v>#DIV/0!</v>
      </c>
      <c r="O90" s="21" t="e">
        <f t="shared" si="42"/>
        <v>#DIV/0!</v>
      </c>
      <c r="P90" s="21" t="e">
        <f t="shared" si="42"/>
        <v>#DIV/0!</v>
      </c>
      <c r="Q90" s="21" t="e">
        <f t="shared" si="42"/>
        <v>#DIV/0!</v>
      </c>
    </row>
    <row r="91" spans="2:17" x14ac:dyDescent="0.25">
      <c r="B91" s="23" t="s">
        <v>48</v>
      </c>
      <c r="C91" s="23" t="s">
        <v>43</v>
      </c>
      <c r="D91" s="21" t="e">
        <f>D90*EXP(-D$29/($D$13*0.7)*12)</f>
        <v>#DIV/0!</v>
      </c>
      <c r="E91" s="21" t="e">
        <f t="shared" ref="E91:Q91" si="43">E90*EXP(-E$18/($D$13*0.7)*12)</f>
        <v>#DIV/0!</v>
      </c>
      <c r="F91" s="21" t="e">
        <f t="shared" si="43"/>
        <v>#DIV/0!</v>
      </c>
      <c r="G91" s="21" t="e">
        <f t="shared" si="43"/>
        <v>#DIV/0!</v>
      </c>
      <c r="H91" s="21" t="e">
        <f t="shared" si="43"/>
        <v>#DIV/0!</v>
      </c>
      <c r="I91" s="21" t="e">
        <f t="shared" si="43"/>
        <v>#DIV/0!</v>
      </c>
      <c r="J91" s="21" t="e">
        <f t="shared" si="43"/>
        <v>#DIV/0!</v>
      </c>
      <c r="K91" s="21" t="e">
        <f t="shared" si="43"/>
        <v>#DIV/0!</v>
      </c>
      <c r="L91" s="21" t="e">
        <f t="shared" si="43"/>
        <v>#DIV/0!</v>
      </c>
      <c r="M91" s="21" t="e">
        <f t="shared" si="43"/>
        <v>#DIV/0!</v>
      </c>
      <c r="N91" s="21" t="e">
        <f t="shared" si="43"/>
        <v>#DIV/0!</v>
      </c>
      <c r="O91" s="21" t="e">
        <f t="shared" si="43"/>
        <v>#DIV/0!</v>
      </c>
      <c r="P91" s="21" t="e">
        <f t="shared" si="43"/>
        <v>#DIV/0!</v>
      </c>
      <c r="Q91" s="21" t="e">
        <f t="shared" si="43"/>
        <v>#DIV/0!</v>
      </c>
    </row>
    <row r="92" spans="2:17" x14ac:dyDescent="0.25">
      <c r="B92" s="23" t="s">
        <v>49</v>
      </c>
      <c r="C92" s="23" t="s">
        <v>47</v>
      </c>
      <c r="D92" s="21" t="e">
        <f>D90*EXP(-D$29/(0.7*$D$13)*$C$80)</f>
        <v>#DIV/0!</v>
      </c>
      <c r="E92" s="21" t="e">
        <f t="shared" ref="E92:Q92" si="44">E90*EXP(-E$18/(0.7*$D$13)*$C$80)</f>
        <v>#DIV/0!</v>
      </c>
      <c r="F92" s="21" t="e">
        <f t="shared" si="44"/>
        <v>#DIV/0!</v>
      </c>
      <c r="G92" s="21" t="e">
        <f t="shared" si="44"/>
        <v>#DIV/0!</v>
      </c>
      <c r="H92" s="21" t="e">
        <f t="shared" si="44"/>
        <v>#DIV/0!</v>
      </c>
      <c r="I92" s="21" t="e">
        <f t="shared" si="44"/>
        <v>#DIV/0!</v>
      </c>
      <c r="J92" s="21" t="e">
        <f t="shared" si="44"/>
        <v>#DIV/0!</v>
      </c>
      <c r="K92" s="21" t="e">
        <f t="shared" si="44"/>
        <v>#DIV/0!</v>
      </c>
      <c r="L92" s="21" t="e">
        <f t="shared" si="44"/>
        <v>#DIV/0!</v>
      </c>
      <c r="M92" s="21" t="e">
        <f t="shared" si="44"/>
        <v>#DIV/0!</v>
      </c>
      <c r="N92" s="21" t="e">
        <f t="shared" si="44"/>
        <v>#DIV/0!</v>
      </c>
      <c r="O92" s="21" t="e">
        <f t="shared" si="44"/>
        <v>#DIV/0!</v>
      </c>
      <c r="P92" s="21" t="e">
        <f t="shared" si="44"/>
        <v>#DIV/0!</v>
      </c>
      <c r="Q92" s="21" t="e">
        <f t="shared" si="44"/>
        <v>#DIV/0!</v>
      </c>
    </row>
    <row r="93" spans="2:17" x14ac:dyDescent="0.25">
      <c r="B93" s="23" t="s">
        <v>49</v>
      </c>
      <c r="C93" s="23" t="s">
        <v>30</v>
      </c>
      <c r="D93" s="21" t="e">
        <f>D92+D$81</f>
        <v>#DIV/0!</v>
      </c>
      <c r="E93" s="21" t="e">
        <f>E92+E$81</f>
        <v>#DIV/0!</v>
      </c>
      <c r="F93" s="21" t="e">
        <f t="shared" ref="F93:Q93" si="45">F92+F$81</f>
        <v>#DIV/0!</v>
      </c>
      <c r="G93" s="21" t="e">
        <f t="shared" si="45"/>
        <v>#DIV/0!</v>
      </c>
      <c r="H93" s="21" t="e">
        <f t="shared" si="45"/>
        <v>#DIV/0!</v>
      </c>
      <c r="I93" s="21" t="e">
        <f t="shared" si="45"/>
        <v>#DIV/0!</v>
      </c>
      <c r="J93" s="21" t="e">
        <f t="shared" si="45"/>
        <v>#DIV/0!</v>
      </c>
      <c r="K93" s="21" t="e">
        <f t="shared" si="45"/>
        <v>#DIV/0!</v>
      </c>
      <c r="L93" s="21" t="e">
        <f t="shared" si="45"/>
        <v>#DIV/0!</v>
      </c>
      <c r="M93" s="21" t="e">
        <f t="shared" si="45"/>
        <v>#DIV/0!</v>
      </c>
      <c r="N93" s="21" t="e">
        <f t="shared" si="45"/>
        <v>#DIV/0!</v>
      </c>
      <c r="O93" s="21" t="e">
        <f t="shared" si="45"/>
        <v>#DIV/0!</v>
      </c>
      <c r="P93" s="21" t="e">
        <f t="shared" si="45"/>
        <v>#DIV/0!</v>
      </c>
      <c r="Q93" s="21" t="e">
        <f t="shared" si="45"/>
        <v>#DIV/0!</v>
      </c>
    </row>
    <row r="94" spans="2:17" x14ac:dyDescent="0.25">
      <c r="B94" s="23" t="s">
        <v>49</v>
      </c>
      <c r="C94" s="23" t="s">
        <v>43</v>
      </c>
      <c r="D94" s="21" t="e">
        <f>D93*EXP(-D$29/($D$13*0.7)*12)</f>
        <v>#DIV/0!</v>
      </c>
      <c r="E94" s="21" t="e">
        <f t="shared" ref="E94:Q94" si="46">E93*EXP(-E$18/($D$13*0.7)*12)</f>
        <v>#DIV/0!</v>
      </c>
      <c r="F94" s="21" t="e">
        <f t="shared" si="46"/>
        <v>#DIV/0!</v>
      </c>
      <c r="G94" s="21" t="e">
        <f t="shared" si="46"/>
        <v>#DIV/0!</v>
      </c>
      <c r="H94" s="21" t="e">
        <f t="shared" si="46"/>
        <v>#DIV/0!</v>
      </c>
      <c r="I94" s="21" t="e">
        <f t="shared" si="46"/>
        <v>#DIV/0!</v>
      </c>
      <c r="J94" s="21" t="e">
        <f t="shared" si="46"/>
        <v>#DIV/0!</v>
      </c>
      <c r="K94" s="21" t="e">
        <f t="shared" si="46"/>
        <v>#DIV/0!</v>
      </c>
      <c r="L94" s="21" t="e">
        <f t="shared" si="46"/>
        <v>#DIV/0!</v>
      </c>
      <c r="M94" s="21" t="e">
        <f t="shared" si="46"/>
        <v>#DIV/0!</v>
      </c>
      <c r="N94" s="21" t="e">
        <f t="shared" si="46"/>
        <v>#DIV/0!</v>
      </c>
      <c r="O94" s="21" t="e">
        <f t="shared" si="46"/>
        <v>#DIV/0!</v>
      </c>
      <c r="P94" s="21" t="e">
        <f t="shared" si="46"/>
        <v>#DIV/0!</v>
      </c>
      <c r="Q94" s="21" t="e">
        <f t="shared" si="46"/>
        <v>#DIV/0!</v>
      </c>
    </row>
    <row r="95" spans="2:17" x14ac:dyDescent="0.25">
      <c r="B95" s="23" t="s">
        <v>50</v>
      </c>
      <c r="C95" s="23" t="s">
        <v>47</v>
      </c>
      <c r="D95" s="21" t="e">
        <f>D93*EXP(-D$29/(0.7*$D$13)*$C$80)</f>
        <v>#DIV/0!</v>
      </c>
      <c r="E95" s="21" t="e">
        <f t="shared" ref="E95:Q95" si="47">E93*EXP(-E$18/(0.7*$D$13)*$C$80)</f>
        <v>#DIV/0!</v>
      </c>
      <c r="F95" s="21" t="e">
        <f t="shared" si="47"/>
        <v>#DIV/0!</v>
      </c>
      <c r="G95" s="21" t="e">
        <f t="shared" si="47"/>
        <v>#DIV/0!</v>
      </c>
      <c r="H95" s="21" t="e">
        <f t="shared" si="47"/>
        <v>#DIV/0!</v>
      </c>
      <c r="I95" s="21" t="e">
        <f t="shared" si="47"/>
        <v>#DIV/0!</v>
      </c>
      <c r="J95" s="21" t="e">
        <f t="shared" si="47"/>
        <v>#DIV/0!</v>
      </c>
      <c r="K95" s="21" t="e">
        <f t="shared" si="47"/>
        <v>#DIV/0!</v>
      </c>
      <c r="L95" s="21" t="e">
        <f t="shared" si="47"/>
        <v>#DIV/0!</v>
      </c>
      <c r="M95" s="21" t="e">
        <f t="shared" si="47"/>
        <v>#DIV/0!</v>
      </c>
      <c r="N95" s="21" t="e">
        <f t="shared" si="47"/>
        <v>#DIV/0!</v>
      </c>
      <c r="O95" s="21" t="e">
        <f t="shared" si="47"/>
        <v>#DIV/0!</v>
      </c>
      <c r="P95" s="21" t="e">
        <f t="shared" si="47"/>
        <v>#DIV/0!</v>
      </c>
      <c r="Q95" s="21" t="e">
        <f t="shared" si="47"/>
        <v>#DIV/0!</v>
      </c>
    </row>
    <row r="96" spans="2:17" x14ac:dyDescent="0.25">
      <c r="B96" s="23" t="s">
        <v>50</v>
      </c>
      <c r="C96" s="23" t="s">
        <v>30</v>
      </c>
      <c r="D96" s="21" t="e">
        <f>D95+D$81</f>
        <v>#DIV/0!</v>
      </c>
      <c r="E96" s="21" t="e">
        <f>E95+E$81</f>
        <v>#DIV/0!</v>
      </c>
      <c r="F96" s="21" t="e">
        <f t="shared" ref="F96:Q96" si="48">F95+F$81</f>
        <v>#DIV/0!</v>
      </c>
      <c r="G96" s="21" t="e">
        <f t="shared" si="48"/>
        <v>#DIV/0!</v>
      </c>
      <c r="H96" s="21" t="e">
        <f t="shared" si="48"/>
        <v>#DIV/0!</v>
      </c>
      <c r="I96" s="21" t="e">
        <f t="shared" si="48"/>
        <v>#DIV/0!</v>
      </c>
      <c r="J96" s="21" t="e">
        <f t="shared" si="48"/>
        <v>#DIV/0!</v>
      </c>
      <c r="K96" s="21" t="e">
        <f t="shared" si="48"/>
        <v>#DIV/0!</v>
      </c>
      <c r="L96" s="21" t="e">
        <f t="shared" si="48"/>
        <v>#DIV/0!</v>
      </c>
      <c r="M96" s="21" t="e">
        <f t="shared" si="48"/>
        <v>#DIV/0!</v>
      </c>
      <c r="N96" s="21" t="e">
        <f t="shared" si="48"/>
        <v>#DIV/0!</v>
      </c>
      <c r="O96" s="21" t="e">
        <f t="shared" si="48"/>
        <v>#DIV/0!</v>
      </c>
      <c r="P96" s="21" t="e">
        <f t="shared" si="48"/>
        <v>#DIV/0!</v>
      </c>
      <c r="Q96" s="21" t="e">
        <f t="shared" si="48"/>
        <v>#DIV/0!</v>
      </c>
    </row>
    <row r="97" spans="2:17" x14ac:dyDescent="0.25">
      <c r="B97" s="23" t="s">
        <v>50</v>
      </c>
      <c r="C97" s="23" t="s">
        <v>43</v>
      </c>
      <c r="D97" s="21" t="e">
        <f>D96*EXP(-D$29/($D$13*0.7)*12)</f>
        <v>#DIV/0!</v>
      </c>
      <c r="E97" s="21" t="e">
        <f t="shared" ref="E97:Q97" si="49">E96*EXP(-E$18/($D$13*0.7)*12)</f>
        <v>#DIV/0!</v>
      </c>
      <c r="F97" s="21" t="e">
        <f t="shared" si="49"/>
        <v>#DIV/0!</v>
      </c>
      <c r="G97" s="21" t="e">
        <f t="shared" si="49"/>
        <v>#DIV/0!</v>
      </c>
      <c r="H97" s="21" t="e">
        <f t="shared" si="49"/>
        <v>#DIV/0!</v>
      </c>
      <c r="I97" s="21" t="e">
        <f t="shared" si="49"/>
        <v>#DIV/0!</v>
      </c>
      <c r="J97" s="21" t="e">
        <f t="shared" si="49"/>
        <v>#DIV/0!</v>
      </c>
      <c r="K97" s="21" t="e">
        <f t="shared" si="49"/>
        <v>#DIV/0!</v>
      </c>
      <c r="L97" s="21" t="e">
        <f t="shared" si="49"/>
        <v>#DIV/0!</v>
      </c>
      <c r="M97" s="21" t="e">
        <f t="shared" si="49"/>
        <v>#DIV/0!</v>
      </c>
      <c r="N97" s="21" t="e">
        <f t="shared" si="49"/>
        <v>#DIV/0!</v>
      </c>
      <c r="O97" s="21" t="e">
        <f t="shared" si="49"/>
        <v>#DIV/0!</v>
      </c>
      <c r="P97" s="21" t="e">
        <f t="shared" si="49"/>
        <v>#DIV/0!</v>
      </c>
      <c r="Q97" s="21" t="e">
        <f t="shared" si="49"/>
        <v>#DIV/0!</v>
      </c>
    </row>
    <row r="98" spans="2:17" x14ac:dyDescent="0.25">
      <c r="B98" s="23" t="s">
        <v>51</v>
      </c>
      <c r="C98" s="23" t="s">
        <v>47</v>
      </c>
      <c r="D98" s="21" t="e">
        <f>D96*EXP(-D$29/(0.7*$D$13)*$C$80)</f>
        <v>#DIV/0!</v>
      </c>
      <c r="E98" s="21" t="e">
        <f t="shared" ref="E98:Q98" si="50">E96*EXP(-E$18/(0.7*$D$13)*$C$80)</f>
        <v>#DIV/0!</v>
      </c>
      <c r="F98" s="21" t="e">
        <f t="shared" si="50"/>
        <v>#DIV/0!</v>
      </c>
      <c r="G98" s="21" t="e">
        <f t="shared" si="50"/>
        <v>#DIV/0!</v>
      </c>
      <c r="H98" s="21" t="e">
        <f t="shared" si="50"/>
        <v>#DIV/0!</v>
      </c>
      <c r="I98" s="21" t="e">
        <f t="shared" si="50"/>
        <v>#DIV/0!</v>
      </c>
      <c r="J98" s="21" t="e">
        <f t="shared" si="50"/>
        <v>#DIV/0!</v>
      </c>
      <c r="K98" s="21" t="e">
        <f t="shared" si="50"/>
        <v>#DIV/0!</v>
      </c>
      <c r="L98" s="21" t="e">
        <f t="shared" si="50"/>
        <v>#DIV/0!</v>
      </c>
      <c r="M98" s="21" t="e">
        <f t="shared" si="50"/>
        <v>#DIV/0!</v>
      </c>
      <c r="N98" s="21" t="e">
        <f t="shared" si="50"/>
        <v>#DIV/0!</v>
      </c>
      <c r="O98" s="21" t="e">
        <f t="shared" si="50"/>
        <v>#DIV/0!</v>
      </c>
      <c r="P98" s="21" t="e">
        <f t="shared" si="50"/>
        <v>#DIV/0!</v>
      </c>
      <c r="Q98" s="21" t="e">
        <f t="shared" si="50"/>
        <v>#DIV/0!</v>
      </c>
    </row>
    <row r="99" spans="2:17" x14ac:dyDescent="0.25">
      <c r="B99" s="23" t="s">
        <v>51</v>
      </c>
      <c r="C99" s="23" t="s">
        <v>30</v>
      </c>
      <c r="D99" s="21" t="e">
        <f>D98+D$81</f>
        <v>#DIV/0!</v>
      </c>
      <c r="E99" s="21" t="e">
        <f>E98+E$81</f>
        <v>#DIV/0!</v>
      </c>
      <c r="F99" s="21" t="e">
        <f t="shared" ref="F99:Q99" si="51">F98+F$81</f>
        <v>#DIV/0!</v>
      </c>
      <c r="G99" s="21" t="e">
        <f t="shared" si="51"/>
        <v>#DIV/0!</v>
      </c>
      <c r="H99" s="21" t="e">
        <f t="shared" si="51"/>
        <v>#DIV/0!</v>
      </c>
      <c r="I99" s="21" t="e">
        <f t="shared" si="51"/>
        <v>#DIV/0!</v>
      </c>
      <c r="J99" s="21" t="e">
        <f t="shared" si="51"/>
        <v>#DIV/0!</v>
      </c>
      <c r="K99" s="21" t="e">
        <f t="shared" si="51"/>
        <v>#DIV/0!</v>
      </c>
      <c r="L99" s="21" t="e">
        <f t="shared" si="51"/>
        <v>#DIV/0!</v>
      </c>
      <c r="M99" s="21" t="e">
        <f t="shared" si="51"/>
        <v>#DIV/0!</v>
      </c>
      <c r="N99" s="21" t="e">
        <f t="shared" si="51"/>
        <v>#DIV/0!</v>
      </c>
      <c r="O99" s="21" t="e">
        <f t="shared" si="51"/>
        <v>#DIV/0!</v>
      </c>
      <c r="P99" s="21" t="e">
        <f t="shared" si="51"/>
        <v>#DIV/0!</v>
      </c>
      <c r="Q99" s="21" t="e">
        <f t="shared" si="51"/>
        <v>#DIV/0!</v>
      </c>
    </row>
    <row r="100" spans="2:17" x14ac:dyDescent="0.25">
      <c r="B100" s="23" t="s">
        <v>51</v>
      </c>
      <c r="C100" s="23" t="s">
        <v>43</v>
      </c>
      <c r="D100" s="21" t="e">
        <f>D99*EXP(-D$29/($D$13*0.7)*12)</f>
        <v>#DIV/0!</v>
      </c>
      <c r="E100" s="21" t="e">
        <f t="shared" ref="E100:Q100" si="52">E99*EXP(-E$18/($D$13*0.7)*12)</f>
        <v>#DIV/0!</v>
      </c>
      <c r="F100" s="21" t="e">
        <f t="shared" si="52"/>
        <v>#DIV/0!</v>
      </c>
      <c r="G100" s="21" t="e">
        <f t="shared" si="52"/>
        <v>#DIV/0!</v>
      </c>
      <c r="H100" s="21" t="e">
        <f t="shared" si="52"/>
        <v>#DIV/0!</v>
      </c>
      <c r="I100" s="21" t="e">
        <f t="shared" si="52"/>
        <v>#DIV/0!</v>
      </c>
      <c r="J100" s="21" t="e">
        <f t="shared" si="52"/>
        <v>#DIV/0!</v>
      </c>
      <c r="K100" s="21" t="e">
        <f t="shared" si="52"/>
        <v>#DIV/0!</v>
      </c>
      <c r="L100" s="21" t="e">
        <f t="shared" si="52"/>
        <v>#DIV/0!</v>
      </c>
      <c r="M100" s="21" t="e">
        <f t="shared" si="52"/>
        <v>#DIV/0!</v>
      </c>
      <c r="N100" s="21" t="e">
        <f t="shared" si="52"/>
        <v>#DIV/0!</v>
      </c>
      <c r="O100" s="21" t="e">
        <f t="shared" si="52"/>
        <v>#DIV/0!</v>
      </c>
      <c r="P100" s="21" t="e">
        <f t="shared" si="52"/>
        <v>#DIV/0!</v>
      </c>
      <c r="Q100" s="21" t="e">
        <f t="shared" si="52"/>
        <v>#DIV/0!</v>
      </c>
    </row>
    <row r="101" spans="2:17" x14ac:dyDescent="0.25">
      <c r="B101" s="23" t="s">
        <v>52</v>
      </c>
      <c r="C101" s="23" t="s">
        <v>47</v>
      </c>
      <c r="D101" s="21" t="e">
        <f>D99*EXP(-D$29/(0.7*$D$13)*$C$80)</f>
        <v>#DIV/0!</v>
      </c>
      <c r="E101" s="21" t="e">
        <f t="shared" ref="E101:Q101" si="53">E99*EXP(-E$18/(0.7*$D$13)*$C$80)</f>
        <v>#DIV/0!</v>
      </c>
      <c r="F101" s="21" t="e">
        <f t="shared" si="53"/>
        <v>#DIV/0!</v>
      </c>
      <c r="G101" s="21" t="e">
        <f t="shared" si="53"/>
        <v>#DIV/0!</v>
      </c>
      <c r="H101" s="21" t="e">
        <f t="shared" si="53"/>
        <v>#DIV/0!</v>
      </c>
      <c r="I101" s="21" t="e">
        <f t="shared" si="53"/>
        <v>#DIV/0!</v>
      </c>
      <c r="J101" s="21" t="e">
        <f t="shared" si="53"/>
        <v>#DIV/0!</v>
      </c>
      <c r="K101" s="21" t="e">
        <f t="shared" si="53"/>
        <v>#DIV/0!</v>
      </c>
      <c r="L101" s="21" t="e">
        <f t="shared" si="53"/>
        <v>#DIV/0!</v>
      </c>
      <c r="M101" s="21" t="e">
        <f t="shared" si="53"/>
        <v>#DIV/0!</v>
      </c>
      <c r="N101" s="21" t="e">
        <f t="shared" si="53"/>
        <v>#DIV/0!</v>
      </c>
      <c r="O101" s="21" t="e">
        <f t="shared" si="53"/>
        <v>#DIV/0!</v>
      </c>
      <c r="P101" s="21" t="e">
        <f t="shared" si="53"/>
        <v>#DIV/0!</v>
      </c>
      <c r="Q101" s="21" t="e">
        <f t="shared" si="53"/>
        <v>#DIV/0!</v>
      </c>
    </row>
    <row r="102" spans="2:17" x14ac:dyDescent="0.25">
      <c r="B102" s="23" t="s">
        <v>52</v>
      </c>
      <c r="C102" s="23" t="s">
        <v>30</v>
      </c>
      <c r="D102" s="21" t="e">
        <f>D101+D$81</f>
        <v>#DIV/0!</v>
      </c>
      <c r="E102" s="21" t="e">
        <f>E101+E$81</f>
        <v>#DIV/0!</v>
      </c>
      <c r="F102" s="21" t="e">
        <f t="shared" ref="F102:Q102" si="54">F101+F$81</f>
        <v>#DIV/0!</v>
      </c>
      <c r="G102" s="21" t="e">
        <f t="shared" si="54"/>
        <v>#DIV/0!</v>
      </c>
      <c r="H102" s="21" t="e">
        <f t="shared" si="54"/>
        <v>#DIV/0!</v>
      </c>
      <c r="I102" s="21" t="e">
        <f t="shared" si="54"/>
        <v>#DIV/0!</v>
      </c>
      <c r="J102" s="21" t="e">
        <f t="shared" si="54"/>
        <v>#DIV/0!</v>
      </c>
      <c r="K102" s="21" t="e">
        <f t="shared" si="54"/>
        <v>#DIV/0!</v>
      </c>
      <c r="L102" s="21" t="e">
        <f t="shared" si="54"/>
        <v>#DIV/0!</v>
      </c>
      <c r="M102" s="21" t="e">
        <f t="shared" si="54"/>
        <v>#DIV/0!</v>
      </c>
      <c r="N102" s="21" t="e">
        <f t="shared" si="54"/>
        <v>#DIV/0!</v>
      </c>
      <c r="O102" s="21" t="e">
        <f t="shared" si="54"/>
        <v>#DIV/0!</v>
      </c>
      <c r="P102" s="21" t="e">
        <f t="shared" si="54"/>
        <v>#DIV/0!</v>
      </c>
      <c r="Q102" s="21" t="e">
        <f t="shared" si="54"/>
        <v>#DIV/0!</v>
      </c>
    </row>
    <row r="103" spans="2:17" x14ac:dyDescent="0.25">
      <c r="B103" s="23" t="s">
        <v>52</v>
      </c>
      <c r="C103" s="23" t="s">
        <v>43</v>
      </c>
      <c r="D103" s="21" t="e">
        <f>D102*EXP(-D$29/($D$13*0.7)*12)</f>
        <v>#DIV/0!</v>
      </c>
      <c r="E103" s="21" t="e">
        <f t="shared" ref="E103:Q103" si="55">E102*EXP(-E$18/($D$13*0.7)*12)</f>
        <v>#DIV/0!</v>
      </c>
      <c r="F103" s="21" t="e">
        <f t="shared" si="55"/>
        <v>#DIV/0!</v>
      </c>
      <c r="G103" s="21" t="e">
        <f t="shared" si="55"/>
        <v>#DIV/0!</v>
      </c>
      <c r="H103" s="21" t="e">
        <f t="shared" si="55"/>
        <v>#DIV/0!</v>
      </c>
      <c r="I103" s="21" t="e">
        <f t="shared" si="55"/>
        <v>#DIV/0!</v>
      </c>
      <c r="J103" s="21" t="e">
        <f t="shared" si="55"/>
        <v>#DIV/0!</v>
      </c>
      <c r="K103" s="21" t="e">
        <f t="shared" si="55"/>
        <v>#DIV/0!</v>
      </c>
      <c r="L103" s="21" t="e">
        <f t="shared" si="55"/>
        <v>#DIV/0!</v>
      </c>
      <c r="M103" s="21" t="e">
        <f t="shared" si="55"/>
        <v>#DIV/0!</v>
      </c>
      <c r="N103" s="21" t="e">
        <f t="shared" si="55"/>
        <v>#DIV/0!</v>
      </c>
      <c r="O103" s="21" t="e">
        <f t="shared" si="55"/>
        <v>#DIV/0!</v>
      </c>
      <c r="P103" s="21" t="e">
        <f t="shared" si="55"/>
        <v>#DIV/0!</v>
      </c>
      <c r="Q103" s="21" t="e">
        <f t="shared" si="55"/>
        <v>#DIV/0!</v>
      </c>
    </row>
    <row r="104" spans="2:17" x14ac:dyDescent="0.25">
      <c r="B104" s="23" t="s">
        <v>53</v>
      </c>
      <c r="C104" s="23" t="s">
        <v>47</v>
      </c>
      <c r="D104" s="21" t="e">
        <f>D102*EXP(-D$29/(0.7*$D$13)*$C$80)</f>
        <v>#DIV/0!</v>
      </c>
      <c r="E104" s="21" t="e">
        <f t="shared" ref="E104:Q104" si="56">E102*EXP(-E$18/(0.7*$D$13)*$C$80)</f>
        <v>#DIV/0!</v>
      </c>
      <c r="F104" s="21" t="e">
        <f t="shared" si="56"/>
        <v>#DIV/0!</v>
      </c>
      <c r="G104" s="21" t="e">
        <f t="shared" si="56"/>
        <v>#DIV/0!</v>
      </c>
      <c r="H104" s="21" t="e">
        <f t="shared" si="56"/>
        <v>#DIV/0!</v>
      </c>
      <c r="I104" s="21" t="e">
        <f t="shared" si="56"/>
        <v>#DIV/0!</v>
      </c>
      <c r="J104" s="21" t="e">
        <f t="shared" si="56"/>
        <v>#DIV/0!</v>
      </c>
      <c r="K104" s="21" t="e">
        <f t="shared" si="56"/>
        <v>#DIV/0!</v>
      </c>
      <c r="L104" s="21" t="e">
        <f t="shared" si="56"/>
        <v>#DIV/0!</v>
      </c>
      <c r="M104" s="21" t="e">
        <f t="shared" si="56"/>
        <v>#DIV/0!</v>
      </c>
      <c r="N104" s="21" t="e">
        <f t="shared" si="56"/>
        <v>#DIV/0!</v>
      </c>
      <c r="O104" s="21" t="e">
        <f t="shared" si="56"/>
        <v>#DIV/0!</v>
      </c>
      <c r="P104" s="21" t="e">
        <f t="shared" si="56"/>
        <v>#DIV/0!</v>
      </c>
      <c r="Q104" s="21" t="e">
        <f t="shared" si="56"/>
        <v>#DIV/0!</v>
      </c>
    </row>
    <row r="105" spans="2:17" x14ac:dyDescent="0.25">
      <c r="B105" s="23" t="s">
        <v>53</v>
      </c>
      <c r="C105" s="23" t="s">
        <v>30</v>
      </c>
      <c r="D105" s="21" t="e">
        <f>D104+D$81</f>
        <v>#DIV/0!</v>
      </c>
      <c r="E105" s="21" t="e">
        <f>E104+E$81</f>
        <v>#DIV/0!</v>
      </c>
      <c r="F105" s="21" t="e">
        <f t="shared" ref="F105:Q105" si="57">F104+F$81</f>
        <v>#DIV/0!</v>
      </c>
      <c r="G105" s="21" t="e">
        <f t="shared" si="57"/>
        <v>#DIV/0!</v>
      </c>
      <c r="H105" s="21" t="e">
        <f t="shared" si="57"/>
        <v>#DIV/0!</v>
      </c>
      <c r="I105" s="21" t="e">
        <f t="shared" si="57"/>
        <v>#DIV/0!</v>
      </c>
      <c r="J105" s="21" t="e">
        <f t="shared" si="57"/>
        <v>#DIV/0!</v>
      </c>
      <c r="K105" s="21" t="e">
        <f t="shared" si="57"/>
        <v>#DIV/0!</v>
      </c>
      <c r="L105" s="21" t="e">
        <f t="shared" si="57"/>
        <v>#DIV/0!</v>
      </c>
      <c r="M105" s="21" t="e">
        <f t="shared" si="57"/>
        <v>#DIV/0!</v>
      </c>
      <c r="N105" s="21" t="e">
        <f t="shared" si="57"/>
        <v>#DIV/0!</v>
      </c>
      <c r="O105" s="21" t="e">
        <f t="shared" si="57"/>
        <v>#DIV/0!</v>
      </c>
      <c r="P105" s="21" t="e">
        <f t="shared" si="57"/>
        <v>#DIV/0!</v>
      </c>
      <c r="Q105" s="21" t="e">
        <f t="shared" si="57"/>
        <v>#DIV/0!</v>
      </c>
    </row>
    <row r="106" spans="2:17" x14ac:dyDescent="0.25">
      <c r="B106" s="23" t="s">
        <v>53</v>
      </c>
      <c r="C106" s="23" t="s">
        <v>43</v>
      </c>
      <c r="D106" s="21" t="e">
        <f>D105*EXP(-D$29/($D$13*0.7)*12)</f>
        <v>#DIV/0!</v>
      </c>
      <c r="E106" s="21" t="e">
        <f t="shared" ref="E106:Q106" si="58">E105*EXP(-E$18/($D$13*0.7)*12)</f>
        <v>#DIV/0!</v>
      </c>
      <c r="F106" s="21" t="e">
        <f t="shared" si="58"/>
        <v>#DIV/0!</v>
      </c>
      <c r="G106" s="21" t="e">
        <f t="shared" si="58"/>
        <v>#DIV/0!</v>
      </c>
      <c r="H106" s="21" t="e">
        <f t="shared" si="58"/>
        <v>#DIV/0!</v>
      </c>
      <c r="I106" s="21" t="e">
        <f t="shared" si="58"/>
        <v>#DIV/0!</v>
      </c>
      <c r="J106" s="21" t="e">
        <f t="shared" si="58"/>
        <v>#DIV/0!</v>
      </c>
      <c r="K106" s="21" t="e">
        <f t="shared" si="58"/>
        <v>#DIV/0!</v>
      </c>
      <c r="L106" s="21" t="e">
        <f t="shared" si="58"/>
        <v>#DIV/0!</v>
      </c>
      <c r="M106" s="21" t="e">
        <f t="shared" si="58"/>
        <v>#DIV/0!</v>
      </c>
      <c r="N106" s="21" t="e">
        <f t="shared" si="58"/>
        <v>#DIV/0!</v>
      </c>
      <c r="O106" s="21" t="e">
        <f t="shared" si="58"/>
        <v>#DIV/0!</v>
      </c>
      <c r="P106" s="21" t="e">
        <f t="shared" si="58"/>
        <v>#DIV/0!</v>
      </c>
      <c r="Q106" s="21" t="e">
        <f t="shared" si="58"/>
        <v>#DIV/0!</v>
      </c>
    </row>
    <row r="107" spans="2:17" x14ac:dyDescent="0.25">
      <c r="B107" s="23" t="s">
        <v>54</v>
      </c>
      <c r="C107" s="23" t="s">
        <v>47</v>
      </c>
      <c r="D107" s="21" t="e">
        <f>D105*EXP(-D$29/(0.7*$D$13)*$C$80)</f>
        <v>#DIV/0!</v>
      </c>
      <c r="E107" s="21" t="e">
        <f t="shared" ref="E107:Q107" si="59">E105*EXP(-E$18/(0.7*$D$13)*$C$80)</f>
        <v>#DIV/0!</v>
      </c>
      <c r="F107" s="21" t="e">
        <f t="shared" si="59"/>
        <v>#DIV/0!</v>
      </c>
      <c r="G107" s="21" t="e">
        <f t="shared" si="59"/>
        <v>#DIV/0!</v>
      </c>
      <c r="H107" s="21" t="e">
        <f t="shared" si="59"/>
        <v>#DIV/0!</v>
      </c>
      <c r="I107" s="21" t="e">
        <f t="shared" si="59"/>
        <v>#DIV/0!</v>
      </c>
      <c r="J107" s="21" t="e">
        <f t="shared" si="59"/>
        <v>#DIV/0!</v>
      </c>
      <c r="K107" s="21" t="e">
        <f t="shared" si="59"/>
        <v>#DIV/0!</v>
      </c>
      <c r="L107" s="21" t="e">
        <f t="shared" si="59"/>
        <v>#DIV/0!</v>
      </c>
      <c r="M107" s="21" t="e">
        <f t="shared" si="59"/>
        <v>#DIV/0!</v>
      </c>
      <c r="N107" s="21" t="e">
        <f t="shared" si="59"/>
        <v>#DIV/0!</v>
      </c>
      <c r="O107" s="21" t="e">
        <f t="shared" si="59"/>
        <v>#DIV/0!</v>
      </c>
      <c r="P107" s="21" t="e">
        <f t="shared" si="59"/>
        <v>#DIV/0!</v>
      </c>
      <c r="Q107" s="21" t="e">
        <f t="shared" si="59"/>
        <v>#DIV/0!</v>
      </c>
    </row>
    <row r="108" spans="2:17" x14ac:dyDescent="0.25">
      <c r="B108" s="23" t="s">
        <v>54</v>
      </c>
      <c r="C108" s="23" t="s">
        <v>30</v>
      </c>
      <c r="D108" s="21" t="e">
        <f>D107+D$81</f>
        <v>#DIV/0!</v>
      </c>
      <c r="E108" s="21" t="e">
        <f>E107+E$81</f>
        <v>#DIV/0!</v>
      </c>
      <c r="F108" s="21" t="e">
        <f t="shared" ref="F108:Q108" si="60">F107+F$81</f>
        <v>#DIV/0!</v>
      </c>
      <c r="G108" s="21" t="e">
        <f t="shared" si="60"/>
        <v>#DIV/0!</v>
      </c>
      <c r="H108" s="21" t="e">
        <f t="shared" si="60"/>
        <v>#DIV/0!</v>
      </c>
      <c r="I108" s="21" t="e">
        <f t="shared" si="60"/>
        <v>#DIV/0!</v>
      </c>
      <c r="J108" s="21" t="e">
        <f t="shared" si="60"/>
        <v>#DIV/0!</v>
      </c>
      <c r="K108" s="21" t="e">
        <f t="shared" si="60"/>
        <v>#DIV/0!</v>
      </c>
      <c r="L108" s="21" t="e">
        <f t="shared" si="60"/>
        <v>#DIV/0!</v>
      </c>
      <c r="M108" s="21" t="e">
        <f t="shared" si="60"/>
        <v>#DIV/0!</v>
      </c>
      <c r="N108" s="21" t="e">
        <f t="shared" si="60"/>
        <v>#DIV/0!</v>
      </c>
      <c r="O108" s="21" t="e">
        <f t="shared" si="60"/>
        <v>#DIV/0!</v>
      </c>
      <c r="P108" s="21" t="e">
        <f t="shared" si="60"/>
        <v>#DIV/0!</v>
      </c>
      <c r="Q108" s="21" t="e">
        <f t="shared" si="60"/>
        <v>#DIV/0!</v>
      </c>
    </row>
    <row r="109" spans="2:17" x14ac:dyDescent="0.25">
      <c r="B109" s="23" t="s">
        <v>54</v>
      </c>
      <c r="C109" s="23" t="s">
        <v>43</v>
      </c>
      <c r="D109" s="21" t="e">
        <f>D108*EXP(-D$29/($D$13*0.7)*12)</f>
        <v>#DIV/0!</v>
      </c>
      <c r="E109" s="21" t="e">
        <f t="shared" ref="E109:Q109" si="61">E108*EXP(-E$18/($D$13*0.7)*12)</f>
        <v>#DIV/0!</v>
      </c>
      <c r="F109" s="21" t="e">
        <f t="shared" si="61"/>
        <v>#DIV/0!</v>
      </c>
      <c r="G109" s="21" t="e">
        <f t="shared" si="61"/>
        <v>#DIV/0!</v>
      </c>
      <c r="H109" s="21" t="e">
        <f t="shared" si="61"/>
        <v>#DIV/0!</v>
      </c>
      <c r="I109" s="21" t="e">
        <f t="shared" si="61"/>
        <v>#DIV/0!</v>
      </c>
      <c r="J109" s="21" t="e">
        <f t="shared" si="61"/>
        <v>#DIV/0!</v>
      </c>
      <c r="K109" s="21" t="e">
        <f t="shared" si="61"/>
        <v>#DIV/0!</v>
      </c>
      <c r="L109" s="21" t="e">
        <f t="shared" si="61"/>
        <v>#DIV/0!</v>
      </c>
      <c r="M109" s="21" t="e">
        <f t="shared" si="61"/>
        <v>#DIV/0!</v>
      </c>
      <c r="N109" s="21" t="e">
        <f t="shared" si="61"/>
        <v>#DIV/0!</v>
      </c>
      <c r="O109" s="21" t="e">
        <f t="shared" si="61"/>
        <v>#DIV/0!</v>
      </c>
      <c r="P109" s="21" t="e">
        <f t="shared" si="61"/>
        <v>#DIV/0!</v>
      </c>
      <c r="Q109" s="21" t="e">
        <f t="shared" si="61"/>
        <v>#DIV/0!</v>
      </c>
    </row>
    <row r="110" spans="2:17" x14ac:dyDescent="0.25">
      <c r="B110" s="23" t="s">
        <v>55</v>
      </c>
      <c r="C110" s="23" t="s">
        <v>47</v>
      </c>
      <c r="D110" s="21" t="e">
        <f>D108*EXP(-D$29/(0.7*$D$13)*$C$80)</f>
        <v>#DIV/0!</v>
      </c>
      <c r="E110" s="21" t="e">
        <f t="shared" ref="E110:Q110" si="62">E108*EXP(-E$18/(0.7*$D$13)*$C$80)</f>
        <v>#DIV/0!</v>
      </c>
      <c r="F110" s="21" t="e">
        <f t="shared" si="62"/>
        <v>#DIV/0!</v>
      </c>
      <c r="G110" s="21" t="e">
        <f t="shared" si="62"/>
        <v>#DIV/0!</v>
      </c>
      <c r="H110" s="21" t="e">
        <f t="shared" si="62"/>
        <v>#DIV/0!</v>
      </c>
      <c r="I110" s="21" t="e">
        <f t="shared" si="62"/>
        <v>#DIV/0!</v>
      </c>
      <c r="J110" s="21" t="e">
        <f t="shared" si="62"/>
        <v>#DIV/0!</v>
      </c>
      <c r="K110" s="21" t="e">
        <f t="shared" si="62"/>
        <v>#DIV/0!</v>
      </c>
      <c r="L110" s="21" t="e">
        <f t="shared" si="62"/>
        <v>#DIV/0!</v>
      </c>
      <c r="M110" s="21" t="e">
        <f t="shared" si="62"/>
        <v>#DIV/0!</v>
      </c>
      <c r="N110" s="21" t="e">
        <f t="shared" si="62"/>
        <v>#DIV/0!</v>
      </c>
      <c r="O110" s="21" t="e">
        <f t="shared" si="62"/>
        <v>#DIV/0!</v>
      </c>
      <c r="P110" s="21" t="e">
        <f t="shared" si="62"/>
        <v>#DIV/0!</v>
      </c>
      <c r="Q110" s="21" t="e">
        <f t="shared" si="62"/>
        <v>#DIV/0!</v>
      </c>
    </row>
    <row r="111" spans="2:17" x14ac:dyDescent="0.25">
      <c r="B111" s="23" t="s">
        <v>55</v>
      </c>
      <c r="C111" s="23" t="s">
        <v>30</v>
      </c>
      <c r="D111" s="21" t="e">
        <f>D110+D$81</f>
        <v>#DIV/0!</v>
      </c>
      <c r="E111" s="21" t="e">
        <f>E110+E$81</f>
        <v>#DIV/0!</v>
      </c>
      <c r="F111" s="21" t="e">
        <f t="shared" ref="F111:Q111" si="63">F110+F$81</f>
        <v>#DIV/0!</v>
      </c>
      <c r="G111" s="21" t="e">
        <f t="shared" si="63"/>
        <v>#DIV/0!</v>
      </c>
      <c r="H111" s="21" t="e">
        <f t="shared" si="63"/>
        <v>#DIV/0!</v>
      </c>
      <c r="I111" s="21" t="e">
        <f t="shared" si="63"/>
        <v>#DIV/0!</v>
      </c>
      <c r="J111" s="21" t="e">
        <f t="shared" si="63"/>
        <v>#DIV/0!</v>
      </c>
      <c r="K111" s="21" t="e">
        <f t="shared" si="63"/>
        <v>#DIV/0!</v>
      </c>
      <c r="L111" s="21" t="e">
        <f t="shared" si="63"/>
        <v>#DIV/0!</v>
      </c>
      <c r="M111" s="21" t="e">
        <f t="shared" si="63"/>
        <v>#DIV/0!</v>
      </c>
      <c r="N111" s="21" t="e">
        <f t="shared" si="63"/>
        <v>#DIV/0!</v>
      </c>
      <c r="O111" s="21" t="e">
        <f t="shared" si="63"/>
        <v>#DIV/0!</v>
      </c>
      <c r="P111" s="21" t="e">
        <f t="shared" si="63"/>
        <v>#DIV/0!</v>
      </c>
      <c r="Q111" s="21" t="e">
        <f t="shared" si="63"/>
        <v>#DIV/0!</v>
      </c>
    </row>
    <row r="112" spans="2:17" x14ac:dyDescent="0.25">
      <c r="B112" s="23" t="s">
        <v>55</v>
      </c>
      <c r="C112" s="23" t="s">
        <v>43</v>
      </c>
      <c r="D112" s="21" t="e">
        <f>D111*EXP(-D$29/($D$13*0.7)*12)</f>
        <v>#DIV/0!</v>
      </c>
      <c r="E112" s="21" t="e">
        <f t="shared" ref="E112:Q112" si="64">E111*EXP(-E$18/($D$13*0.7)*12)</f>
        <v>#DIV/0!</v>
      </c>
      <c r="F112" s="21" t="e">
        <f t="shared" si="64"/>
        <v>#DIV/0!</v>
      </c>
      <c r="G112" s="21" t="e">
        <f t="shared" si="64"/>
        <v>#DIV/0!</v>
      </c>
      <c r="H112" s="21" t="e">
        <f t="shared" si="64"/>
        <v>#DIV/0!</v>
      </c>
      <c r="I112" s="21" t="e">
        <f t="shared" si="64"/>
        <v>#DIV/0!</v>
      </c>
      <c r="J112" s="21" t="e">
        <f t="shared" si="64"/>
        <v>#DIV/0!</v>
      </c>
      <c r="K112" s="21" t="e">
        <f t="shared" si="64"/>
        <v>#DIV/0!</v>
      </c>
      <c r="L112" s="21" t="e">
        <f t="shared" si="64"/>
        <v>#DIV/0!</v>
      </c>
      <c r="M112" s="21" t="e">
        <f t="shared" si="64"/>
        <v>#DIV/0!</v>
      </c>
      <c r="N112" s="21" t="e">
        <f t="shared" si="64"/>
        <v>#DIV/0!</v>
      </c>
      <c r="O112" s="21" t="e">
        <f t="shared" si="64"/>
        <v>#DIV/0!</v>
      </c>
      <c r="P112" s="21" t="e">
        <f t="shared" si="64"/>
        <v>#DIV/0!</v>
      </c>
      <c r="Q112" s="21" t="e">
        <f t="shared" si="64"/>
        <v>#DIV/0!</v>
      </c>
    </row>
    <row r="113" spans="2:17" x14ac:dyDescent="0.25">
      <c r="B113" s="23" t="s">
        <v>56</v>
      </c>
      <c r="C113" s="23" t="s">
        <v>47</v>
      </c>
      <c r="D113" s="21" t="e">
        <f>D111*EXP(-D$29/(0.7*$D$13)*$C$80)</f>
        <v>#DIV/0!</v>
      </c>
      <c r="E113" s="21" t="e">
        <f t="shared" ref="E113:Q113" si="65">E111*EXP(-E$18/(0.7*$D$13)*$C$80)</f>
        <v>#DIV/0!</v>
      </c>
      <c r="F113" s="21" t="e">
        <f t="shared" si="65"/>
        <v>#DIV/0!</v>
      </c>
      <c r="G113" s="21" t="e">
        <f t="shared" si="65"/>
        <v>#DIV/0!</v>
      </c>
      <c r="H113" s="21" t="e">
        <f t="shared" si="65"/>
        <v>#DIV/0!</v>
      </c>
      <c r="I113" s="21" t="e">
        <f t="shared" si="65"/>
        <v>#DIV/0!</v>
      </c>
      <c r="J113" s="21" t="e">
        <f t="shared" si="65"/>
        <v>#DIV/0!</v>
      </c>
      <c r="K113" s="21" t="e">
        <f t="shared" si="65"/>
        <v>#DIV/0!</v>
      </c>
      <c r="L113" s="21" t="e">
        <f t="shared" si="65"/>
        <v>#DIV/0!</v>
      </c>
      <c r="M113" s="21" t="e">
        <f t="shared" si="65"/>
        <v>#DIV/0!</v>
      </c>
      <c r="N113" s="21" t="e">
        <f t="shared" si="65"/>
        <v>#DIV/0!</v>
      </c>
      <c r="O113" s="21" t="e">
        <f t="shared" si="65"/>
        <v>#DIV/0!</v>
      </c>
      <c r="P113" s="21" t="e">
        <f t="shared" si="65"/>
        <v>#DIV/0!</v>
      </c>
      <c r="Q113" s="21" t="e">
        <f t="shared" si="65"/>
        <v>#DIV/0!</v>
      </c>
    </row>
    <row r="114" spans="2:17" x14ac:dyDescent="0.25">
      <c r="B114" s="23" t="s">
        <v>56</v>
      </c>
      <c r="C114" s="23" t="s">
        <v>30</v>
      </c>
      <c r="D114" s="21" t="e">
        <f>D113+D$81</f>
        <v>#DIV/0!</v>
      </c>
      <c r="E114" s="21" t="e">
        <f>E113+E$81</f>
        <v>#DIV/0!</v>
      </c>
      <c r="F114" s="21" t="e">
        <f t="shared" ref="F114:Q114" si="66">F113+F$81</f>
        <v>#DIV/0!</v>
      </c>
      <c r="G114" s="21" t="e">
        <f t="shared" si="66"/>
        <v>#DIV/0!</v>
      </c>
      <c r="H114" s="21" t="e">
        <f t="shared" si="66"/>
        <v>#DIV/0!</v>
      </c>
      <c r="I114" s="21" t="e">
        <f t="shared" si="66"/>
        <v>#DIV/0!</v>
      </c>
      <c r="J114" s="21" t="e">
        <f t="shared" si="66"/>
        <v>#DIV/0!</v>
      </c>
      <c r="K114" s="21" t="e">
        <f t="shared" si="66"/>
        <v>#DIV/0!</v>
      </c>
      <c r="L114" s="21" t="e">
        <f t="shared" si="66"/>
        <v>#DIV/0!</v>
      </c>
      <c r="M114" s="21" t="e">
        <f t="shared" si="66"/>
        <v>#DIV/0!</v>
      </c>
      <c r="N114" s="21" t="e">
        <f t="shared" si="66"/>
        <v>#DIV/0!</v>
      </c>
      <c r="O114" s="21" t="e">
        <f t="shared" si="66"/>
        <v>#DIV/0!</v>
      </c>
      <c r="P114" s="21" t="e">
        <f t="shared" si="66"/>
        <v>#DIV/0!</v>
      </c>
      <c r="Q114" s="21" t="e">
        <f t="shared" si="66"/>
        <v>#DIV/0!</v>
      </c>
    </row>
    <row r="115" spans="2:17" x14ac:dyDescent="0.25">
      <c r="B115" s="23" t="s">
        <v>56</v>
      </c>
      <c r="C115" s="23" t="s">
        <v>43</v>
      </c>
      <c r="D115" s="21" t="e">
        <f>D114*EXP(-D$29/($D$13*0.7)*12)</f>
        <v>#DIV/0!</v>
      </c>
      <c r="E115" s="21" t="e">
        <f t="shared" ref="E115:Q115" si="67">E114*EXP(-E$18/($D$13*0.7)*12)</f>
        <v>#DIV/0!</v>
      </c>
      <c r="F115" s="21" t="e">
        <f t="shared" si="67"/>
        <v>#DIV/0!</v>
      </c>
      <c r="G115" s="21" t="e">
        <f t="shared" si="67"/>
        <v>#DIV/0!</v>
      </c>
      <c r="H115" s="21" t="e">
        <f t="shared" si="67"/>
        <v>#DIV/0!</v>
      </c>
      <c r="I115" s="21" t="e">
        <f t="shared" si="67"/>
        <v>#DIV/0!</v>
      </c>
      <c r="J115" s="21" t="e">
        <f t="shared" si="67"/>
        <v>#DIV/0!</v>
      </c>
      <c r="K115" s="21" t="e">
        <f t="shared" si="67"/>
        <v>#DIV/0!</v>
      </c>
      <c r="L115" s="21" t="e">
        <f t="shared" si="67"/>
        <v>#DIV/0!</v>
      </c>
      <c r="M115" s="21" t="e">
        <f t="shared" si="67"/>
        <v>#DIV/0!</v>
      </c>
      <c r="N115" s="21" t="e">
        <f t="shared" si="67"/>
        <v>#DIV/0!</v>
      </c>
      <c r="O115" s="21" t="e">
        <f t="shared" si="67"/>
        <v>#DIV/0!</v>
      </c>
      <c r="P115" s="21" t="e">
        <f t="shared" si="67"/>
        <v>#DIV/0!</v>
      </c>
      <c r="Q115" s="21" t="e">
        <f t="shared" si="67"/>
        <v>#DIV/0!</v>
      </c>
    </row>
    <row r="116" spans="2:17" x14ac:dyDescent="0.25">
      <c r="B116" s="23" t="s">
        <v>57</v>
      </c>
      <c r="C116" s="23" t="s">
        <v>47</v>
      </c>
      <c r="D116" s="21" t="e">
        <f>D114*EXP(-D$29/(0.7*$D$13)*$C$80)</f>
        <v>#DIV/0!</v>
      </c>
      <c r="E116" s="21" t="e">
        <f t="shared" ref="E116:Q116" si="68">E114*EXP(-E$18/(0.7*$D$13)*$C$80)</f>
        <v>#DIV/0!</v>
      </c>
      <c r="F116" s="21" t="e">
        <f t="shared" si="68"/>
        <v>#DIV/0!</v>
      </c>
      <c r="G116" s="21" t="e">
        <f t="shared" si="68"/>
        <v>#DIV/0!</v>
      </c>
      <c r="H116" s="21" t="e">
        <f t="shared" si="68"/>
        <v>#DIV/0!</v>
      </c>
      <c r="I116" s="21" t="e">
        <f t="shared" si="68"/>
        <v>#DIV/0!</v>
      </c>
      <c r="J116" s="21" t="e">
        <f t="shared" si="68"/>
        <v>#DIV/0!</v>
      </c>
      <c r="K116" s="21" t="e">
        <f t="shared" si="68"/>
        <v>#DIV/0!</v>
      </c>
      <c r="L116" s="21" t="e">
        <f t="shared" si="68"/>
        <v>#DIV/0!</v>
      </c>
      <c r="M116" s="21" t="e">
        <f t="shared" si="68"/>
        <v>#DIV/0!</v>
      </c>
      <c r="N116" s="21" t="e">
        <f t="shared" si="68"/>
        <v>#DIV/0!</v>
      </c>
      <c r="O116" s="21" t="e">
        <f t="shared" si="68"/>
        <v>#DIV/0!</v>
      </c>
      <c r="P116" s="21" t="e">
        <f t="shared" si="68"/>
        <v>#DIV/0!</v>
      </c>
      <c r="Q116" s="21" t="e">
        <f t="shared" si="68"/>
        <v>#DIV/0!</v>
      </c>
    </row>
    <row r="117" spans="2:17" x14ac:dyDescent="0.25">
      <c r="B117" s="23" t="s">
        <v>57</v>
      </c>
      <c r="C117" s="23" t="s">
        <v>30</v>
      </c>
      <c r="D117" s="21" t="e">
        <f>D116+D$81</f>
        <v>#DIV/0!</v>
      </c>
      <c r="E117" s="21" t="e">
        <f>E116+E$81</f>
        <v>#DIV/0!</v>
      </c>
      <c r="F117" s="21" t="e">
        <f t="shared" ref="F117:Q117" si="69">F116+F$81</f>
        <v>#DIV/0!</v>
      </c>
      <c r="G117" s="21" t="e">
        <f t="shared" si="69"/>
        <v>#DIV/0!</v>
      </c>
      <c r="H117" s="21" t="e">
        <f t="shared" si="69"/>
        <v>#DIV/0!</v>
      </c>
      <c r="I117" s="21" t="e">
        <f t="shared" si="69"/>
        <v>#DIV/0!</v>
      </c>
      <c r="J117" s="21" t="e">
        <f t="shared" si="69"/>
        <v>#DIV/0!</v>
      </c>
      <c r="K117" s="21" t="e">
        <f t="shared" si="69"/>
        <v>#DIV/0!</v>
      </c>
      <c r="L117" s="21" t="e">
        <f t="shared" si="69"/>
        <v>#DIV/0!</v>
      </c>
      <c r="M117" s="21" t="e">
        <f t="shared" si="69"/>
        <v>#DIV/0!</v>
      </c>
      <c r="N117" s="21" t="e">
        <f t="shared" si="69"/>
        <v>#DIV/0!</v>
      </c>
      <c r="O117" s="21" t="e">
        <f t="shared" si="69"/>
        <v>#DIV/0!</v>
      </c>
      <c r="P117" s="21" t="e">
        <f t="shared" si="69"/>
        <v>#DIV/0!</v>
      </c>
      <c r="Q117" s="21" t="e">
        <f t="shared" si="69"/>
        <v>#DIV/0!</v>
      </c>
    </row>
    <row r="118" spans="2:17" x14ac:dyDescent="0.25">
      <c r="B118" s="23" t="s">
        <v>57</v>
      </c>
      <c r="C118" s="23" t="s">
        <v>43</v>
      </c>
      <c r="D118" s="21" t="e">
        <f>D117*EXP(-D$29/($D$13*0.7)*12)</f>
        <v>#DIV/0!</v>
      </c>
      <c r="E118" s="21" t="e">
        <f t="shared" ref="E118:Q118" si="70">E117*EXP(-E$18/($D$13*0.7)*12)</f>
        <v>#DIV/0!</v>
      </c>
      <c r="F118" s="21" t="e">
        <f t="shared" si="70"/>
        <v>#DIV/0!</v>
      </c>
      <c r="G118" s="21" t="e">
        <f t="shared" si="70"/>
        <v>#DIV/0!</v>
      </c>
      <c r="H118" s="21" t="e">
        <f t="shared" si="70"/>
        <v>#DIV/0!</v>
      </c>
      <c r="I118" s="21" t="e">
        <f t="shared" si="70"/>
        <v>#DIV/0!</v>
      </c>
      <c r="J118" s="21" t="e">
        <f t="shared" si="70"/>
        <v>#DIV/0!</v>
      </c>
      <c r="K118" s="21" t="e">
        <f t="shared" si="70"/>
        <v>#DIV/0!</v>
      </c>
      <c r="L118" s="21" t="e">
        <f t="shared" si="70"/>
        <v>#DIV/0!</v>
      </c>
      <c r="M118" s="21" t="e">
        <f t="shared" si="70"/>
        <v>#DIV/0!</v>
      </c>
      <c r="N118" s="21" t="e">
        <f t="shared" si="70"/>
        <v>#DIV/0!</v>
      </c>
      <c r="O118" s="21" t="e">
        <f t="shared" si="70"/>
        <v>#DIV/0!</v>
      </c>
      <c r="P118" s="21" t="e">
        <f t="shared" si="70"/>
        <v>#DIV/0!</v>
      </c>
      <c r="Q118" s="21" t="e">
        <f t="shared" si="70"/>
        <v>#DIV/0!</v>
      </c>
    </row>
    <row r="119" spans="2:17" x14ac:dyDescent="0.25">
      <c r="B119" s="23" t="s">
        <v>58</v>
      </c>
      <c r="C119" s="23" t="s">
        <v>47</v>
      </c>
      <c r="D119" s="21" t="e">
        <f>D117*EXP(-D$29/(0.7*$D$13)*$C$80)</f>
        <v>#DIV/0!</v>
      </c>
      <c r="E119" s="21" t="e">
        <f t="shared" ref="E119:Q119" si="71">E117*EXP(-E$18/(0.7*$D$13)*$C$80)</f>
        <v>#DIV/0!</v>
      </c>
      <c r="F119" s="21" t="e">
        <f t="shared" si="71"/>
        <v>#DIV/0!</v>
      </c>
      <c r="G119" s="21" t="e">
        <f t="shared" si="71"/>
        <v>#DIV/0!</v>
      </c>
      <c r="H119" s="21" t="e">
        <f t="shared" si="71"/>
        <v>#DIV/0!</v>
      </c>
      <c r="I119" s="21" t="e">
        <f t="shared" si="71"/>
        <v>#DIV/0!</v>
      </c>
      <c r="J119" s="21" t="e">
        <f t="shared" si="71"/>
        <v>#DIV/0!</v>
      </c>
      <c r="K119" s="21" t="e">
        <f t="shared" si="71"/>
        <v>#DIV/0!</v>
      </c>
      <c r="L119" s="21" t="e">
        <f t="shared" si="71"/>
        <v>#DIV/0!</v>
      </c>
      <c r="M119" s="21" t="e">
        <f t="shared" si="71"/>
        <v>#DIV/0!</v>
      </c>
      <c r="N119" s="21" t="e">
        <f t="shared" si="71"/>
        <v>#DIV/0!</v>
      </c>
      <c r="O119" s="21" t="e">
        <f t="shared" si="71"/>
        <v>#DIV/0!</v>
      </c>
      <c r="P119" s="21" t="e">
        <f t="shared" si="71"/>
        <v>#DIV/0!</v>
      </c>
      <c r="Q119" s="21" t="e">
        <f t="shared" si="71"/>
        <v>#DIV/0!</v>
      </c>
    </row>
    <row r="120" spans="2:17" x14ac:dyDescent="0.25">
      <c r="B120" s="23" t="s">
        <v>58</v>
      </c>
      <c r="C120" s="23" t="s">
        <v>30</v>
      </c>
      <c r="D120" s="21" t="e">
        <f>D119+D$81</f>
        <v>#DIV/0!</v>
      </c>
      <c r="E120" s="21" t="e">
        <f>E119+E$81</f>
        <v>#DIV/0!</v>
      </c>
      <c r="F120" s="21" t="e">
        <f t="shared" ref="F120:Q120" si="72">F119+F$81</f>
        <v>#DIV/0!</v>
      </c>
      <c r="G120" s="21" t="e">
        <f t="shared" si="72"/>
        <v>#DIV/0!</v>
      </c>
      <c r="H120" s="21" t="e">
        <f t="shared" si="72"/>
        <v>#DIV/0!</v>
      </c>
      <c r="I120" s="21" t="e">
        <f t="shared" si="72"/>
        <v>#DIV/0!</v>
      </c>
      <c r="J120" s="21" t="e">
        <f t="shared" si="72"/>
        <v>#DIV/0!</v>
      </c>
      <c r="K120" s="21" t="e">
        <f t="shared" si="72"/>
        <v>#DIV/0!</v>
      </c>
      <c r="L120" s="21" t="e">
        <f t="shared" si="72"/>
        <v>#DIV/0!</v>
      </c>
      <c r="M120" s="21" t="e">
        <f t="shared" si="72"/>
        <v>#DIV/0!</v>
      </c>
      <c r="N120" s="21" t="e">
        <f t="shared" si="72"/>
        <v>#DIV/0!</v>
      </c>
      <c r="O120" s="21" t="e">
        <f t="shared" si="72"/>
        <v>#DIV/0!</v>
      </c>
      <c r="P120" s="21" t="e">
        <f t="shared" si="72"/>
        <v>#DIV/0!</v>
      </c>
      <c r="Q120" s="21" t="e">
        <f t="shared" si="72"/>
        <v>#DIV/0!</v>
      </c>
    </row>
    <row r="121" spans="2:17" x14ac:dyDescent="0.25">
      <c r="B121" s="23" t="s">
        <v>58</v>
      </c>
      <c r="C121" s="23" t="s">
        <v>43</v>
      </c>
      <c r="D121" s="21" t="e">
        <f>D120*EXP(-D$29/($D$13*0.7)*12)</f>
        <v>#DIV/0!</v>
      </c>
      <c r="E121" s="21" t="e">
        <f t="shared" ref="E121:Q121" si="73">E120*EXP(-E$18/($D$13*0.7)*12)</f>
        <v>#DIV/0!</v>
      </c>
      <c r="F121" s="21" t="e">
        <f t="shared" si="73"/>
        <v>#DIV/0!</v>
      </c>
      <c r="G121" s="21" t="e">
        <f t="shared" si="73"/>
        <v>#DIV/0!</v>
      </c>
      <c r="H121" s="21" t="e">
        <f t="shared" si="73"/>
        <v>#DIV/0!</v>
      </c>
      <c r="I121" s="21" t="e">
        <f t="shared" si="73"/>
        <v>#DIV/0!</v>
      </c>
      <c r="J121" s="21" t="e">
        <f t="shared" si="73"/>
        <v>#DIV/0!</v>
      </c>
      <c r="K121" s="21" t="e">
        <f t="shared" si="73"/>
        <v>#DIV/0!</v>
      </c>
      <c r="L121" s="21" t="e">
        <f t="shared" si="73"/>
        <v>#DIV/0!</v>
      </c>
      <c r="M121" s="21" t="e">
        <f t="shared" si="73"/>
        <v>#DIV/0!</v>
      </c>
      <c r="N121" s="21" t="e">
        <f t="shared" si="73"/>
        <v>#DIV/0!</v>
      </c>
      <c r="O121" s="21" t="e">
        <f t="shared" si="73"/>
        <v>#DIV/0!</v>
      </c>
      <c r="P121" s="21" t="e">
        <f t="shared" si="73"/>
        <v>#DIV/0!</v>
      </c>
      <c r="Q121" s="21" t="e">
        <f t="shared" si="73"/>
        <v>#DIV/0!</v>
      </c>
    </row>
    <row r="122" spans="2:17" x14ac:dyDescent="0.25">
      <c r="B122" s="23" t="s">
        <v>59</v>
      </c>
      <c r="C122" s="23" t="s">
        <v>47</v>
      </c>
      <c r="D122" s="21" t="e">
        <f>D120*EXP(-D$29/(0.7*$D$13)*$C$80)</f>
        <v>#DIV/0!</v>
      </c>
      <c r="E122" s="21" t="e">
        <f t="shared" ref="E122:Q122" si="74">E120*EXP(-E$18/(0.7*$D$13)*$C$80)</f>
        <v>#DIV/0!</v>
      </c>
      <c r="F122" s="21" t="e">
        <f t="shared" si="74"/>
        <v>#DIV/0!</v>
      </c>
      <c r="G122" s="21" t="e">
        <f t="shared" si="74"/>
        <v>#DIV/0!</v>
      </c>
      <c r="H122" s="21" t="e">
        <f t="shared" si="74"/>
        <v>#DIV/0!</v>
      </c>
      <c r="I122" s="21" t="e">
        <f t="shared" si="74"/>
        <v>#DIV/0!</v>
      </c>
      <c r="J122" s="21" t="e">
        <f t="shared" si="74"/>
        <v>#DIV/0!</v>
      </c>
      <c r="K122" s="21" t="e">
        <f t="shared" si="74"/>
        <v>#DIV/0!</v>
      </c>
      <c r="L122" s="21" t="e">
        <f t="shared" si="74"/>
        <v>#DIV/0!</v>
      </c>
      <c r="M122" s="21" t="e">
        <f t="shared" si="74"/>
        <v>#DIV/0!</v>
      </c>
      <c r="N122" s="21" t="e">
        <f t="shared" si="74"/>
        <v>#DIV/0!</v>
      </c>
      <c r="O122" s="21" t="e">
        <f t="shared" si="74"/>
        <v>#DIV/0!</v>
      </c>
      <c r="P122" s="21" t="e">
        <f t="shared" si="74"/>
        <v>#DIV/0!</v>
      </c>
      <c r="Q122" s="21" t="e">
        <f t="shared" si="74"/>
        <v>#DIV/0!</v>
      </c>
    </row>
    <row r="123" spans="2:17" x14ac:dyDescent="0.25">
      <c r="B123" s="23" t="s">
        <v>59</v>
      </c>
      <c r="C123" s="23" t="s">
        <v>30</v>
      </c>
      <c r="D123" s="21" t="e">
        <f>D122+D$81</f>
        <v>#DIV/0!</v>
      </c>
      <c r="E123" s="21" t="e">
        <f>E122+E$81</f>
        <v>#DIV/0!</v>
      </c>
      <c r="F123" s="21" t="e">
        <f t="shared" ref="F123:Q123" si="75">F122+F$81</f>
        <v>#DIV/0!</v>
      </c>
      <c r="G123" s="21" t="e">
        <f t="shared" si="75"/>
        <v>#DIV/0!</v>
      </c>
      <c r="H123" s="21" t="e">
        <f t="shared" si="75"/>
        <v>#DIV/0!</v>
      </c>
      <c r="I123" s="21" t="e">
        <f t="shared" si="75"/>
        <v>#DIV/0!</v>
      </c>
      <c r="J123" s="21" t="e">
        <f t="shared" si="75"/>
        <v>#DIV/0!</v>
      </c>
      <c r="K123" s="21" t="e">
        <f t="shared" si="75"/>
        <v>#DIV/0!</v>
      </c>
      <c r="L123" s="21" t="e">
        <f t="shared" si="75"/>
        <v>#DIV/0!</v>
      </c>
      <c r="M123" s="21" t="e">
        <f t="shared" si="75"/>
        <v>#DIV/0!</v>
      </c>
      <c r="N123" s="21" t="e">
        <f t="shared" si="75"/>
        <v>#DIV/0!</v>
      </c>
      <c r="O123" s="21" t="e">
        <f t="shared" si="75"/>
        <v>#DIV/0!</v>
      </c>
      <c r="P123" s="21" t="e">
        <f t="shared" si="75"/>
        <v>#DIV/0!</v>
      </c>
      <c r="Q123" s="21" t="e">
        <f t="shared" si="75"/>
        <v>#DIV/0!</v>
      </c>
    </row>
    <row r="124" spans="2:17" x14ac:dyDescent="0.25">
      <c r="B124" s="23" t="s">
        <v>59</v>
      </c>
      <c r="C124" s="23" t="s">
        <v>43</v>
      </c>
      <c r="D124" s="21" t="e">
        <f>D123*EXP(-D$29/($D$13*0.7)*12)</f>
        <v>#DIV/0!</v>
      </c>
      <c r="E124" s="21" t="e">
        <f t="shared" ref="E124:Q124" si="76">E123*EXP(-E$18/($D$13*0.7)*12)</f>
        <v>#DIV/0!</v>
      </c>
      <c r="F124" s="21" t="e">
        <f t="shared" si="76"/>
        <v>#DIV/0!</v>
      </c>
      <c r="G124" s="21" t="e">
        <f t="shared" si="76"/>
        <v>#DIV/0!</v>
      </c>
      <c r="H124" s="21" t="e">
        <f t="shared" si="76"/>
        <v>#DIV/0!</v>
      </c>
      <c r="I124" s="21" t="e">
        <f t="shared" si="76"/>
        <v>#DIV/0!</v>
      </c>
      <c r="J124" s="21" t="e">
        <f t="shared" si="76"/>
        <v>#DIV/0!</v>
      </c>
      <c r="K124" s="21" t="e">
        <f t="shared" si="76"/>
        <v>#DIV/0!</v>
      </c>
      <c r="L124" s="21" t="e">
        <f t="shared" si="76"/>
        <v>#DIV/0!</v>
      </c>
      <c r="M124" s="21" t="e">
        <f t="shared" si="76"/>
        <v>#DIV/0!</v>
      </c>
      <c r="N124" s="21" t="e">
        <f t="shared" si="76"/>
        <v>#DIV/0!</v>
      </c>
      <c r="O124" s="21" t="e">
        <f t="shared" si="76"/>
        <v>#DIV/0!</v>
      </c>
      <c r="P124" s="21" t="e">
        <f t="shared" si="76"/>
        <v>#DIV/0!</v>
      </c>
      <c r="Q124" s="21" t="e">
        <f t="shared" si="76"/>
        <v>#DIV/0!</v>
      </c>
    </row>
    <row r="125" spans="2:17" x14ac:dyDescent="0.25">
      <c r="B125" s="23" t="s">
        <v>60</v>
      </c>
      <c r="C125" s="23" t="s">
        <v>47</v>
      </c>
      <c r="D125" s="21" t="e">
        <f>D123*EXP(-D$29/(0.7*$D$13)*$C$80)</f>
        <v>#DIV/0!</v>
      </c>
      <c r="E125" s="21" t="e">
        <f t="shared" ref="E125:Q125" si="77">E123*EXP(-E$18/(0.7*$D$13)*$C$80)</f>
        <v>#DIV/0!</v>
      </c>
      <c r="F125" s="21" t="e">
        <f t="shared" si="77"/>
        <v>#DIV/0!</v>
      </c>
      <c r="G125" s="21" t="e">
        <f t="shared" si="77"/>
        <v>#DIV/0!</v>
      </c>
      <c r="H125" s="21" t="e">
        <f t="shared" si="77"/>
        <v>#DIV/0!</v>
      </c>
      <c r="I125" s="21" t="e">
        <f t="shared" si="77"/>
        <v>#DIV/0!</v>
      </c>
      <c r="J125" s="21" t="e">
        <f t="shared" si="77"/>
        <v>#DIV/0!</v>
      </c>
      <c r="K125" s="21" t="e">
        <f t="shared" si="77"/>
        <v>#DIV/0!</v>
      </c>
      <c r="L125" s="21" t="e">
        <f t="shared" si="77"/>
        <v>#DIV/0!</v>
      </c>
      <c r="M125" s="21" t="e">
        <f t="shared" si="77"/>
        <v>#DIV/0!</v>
      </c>
      <c r="N125" s="21" t="e">
        <f t="shared" si="77"/>
        <v>#DIV/0!</v>
      </c>
      <c r="O125" s="21" t="e">
        <f t="shared" si="77"/>
        <v>#DIV/0!</v>
      </c>
      <c r="P125" s="21" t="e">
        <f t="shared" si="77"/>
        <v>#DIV/0!</v>
      </c>
      <c r="Q125" s="21" t="e">
        <f t="shared" si="77"/>
        <v>#DIV/0!</v>
      </c>
    </row>
    <row r="126" spans="2:17" x14ac:dyDescent="0.25">
      <c r="B126" s="23" t="s">
        <v>60</v>
      </c>
      <c r="C126" s="23" t="s">
        <v>30</v>
      </c>
      <c r="D126" s="21" t="e">
        <f>D125+D$81</f>
        <v>#DIV/0!</v>
      </c>
      <c r="E126" s="21" t="e">
        <f>E125+E$81</f>
        <v>#DIV/0!</v>
      </c>
      <c r="F126" s="21" t="e">
        <f t="shared" ref="F126:Q126" si="78">F125+F$81</f>
        <v>#DIV/0!</v>
      </c>
      <c r="G126" s="21" t="e">
        <f t="shared" si="78"/>
        <v>#DIV/0!</v>
      </c>
      <c r="H126" s="21" t="e">
        <f t="shared" si="78"/>
        <v>#DIV/0!</v>
      </c>
      <c r="I126" s="21" t="e">
        <f t="shared" si="78"/>
        <v>#DIV/0!</v>
      </c>
      <c r="J126" s="21" t="e">
        <f t="shared" si="78"/>
        <v>#DIV/0!</v>
      </c>
      <c r="K126" s="21" t="e">
        <f t="shared" si="78"/>
        <v>#DIV/0!</v>
      </c>
      <c r="L126" s="21" t="e">
        <f t="shared" si="78"/>
        <v>#DIV/0!</v>
      </c>
      <c r="M126" s="21" t="e">
        <f t="shared" si="78"/>
        <v>#DIV/0!</v>
      </c>
      <c r="N126" s="21" t="e">
        <f t="shared" si="78"/>
        <v>#DIV/0!</v>
      </c>
      <c r="O126" s="21" t="e">
        <f t="shared" si="78"/>
        <v>#DIV/0!</v>
      </c>
      <c r="P126" s="21" t="e">
        <f t="shared" si="78"/>
        <v>#DIV/0!</v>
      </c>
      <c r="Q126" s="21" t="e">
        <f t="shared" si="78"/>
        <v>#DIV/0!</v>
      </c>
    </row>
    <row r="127" spans="2:17" x14ac:dyDescent="0.25">
      <c r="B127" s="23" t="s">
        <v>60</v>
      </c>
      <c r="C127" s="23" t="s">
        <v>43</v>
      </c>
      <c r="D127" s="21" t="e">
        <f>D126*EXP(-D$29/($D$13*0.7)*12)</f>
        <v>#DIV/0!</v>
      </c>
      <c r="E127" s="21" t="e">
        <f t="shared" ref="E127:Q127" si="79">E126*EXP(-E$18/($D$13*0.7)*12)</f>
        <v>#DIV/0!</v>
      </c>
      <c r="F127" s="21" t="e">
        <f t="shared" si="79"/>
        <v>#DIV/0!</v>
      </c>
      <c r="G127" s="21" t="e">
        <f t="shared" si="79"/>
        <v>#DIV/0!</v>
      </c>
      <c r="H127" s="21" t="e">
        <f t="shared" si="79"/>
        <v>#DIV/0!</v>
      </c>
      <c r="I127" s="21" t="e">
        <f t="shared" si="79"/>
        <v>#DIV/0!</v>
      </c>
      <c r="J127" s="21" t="e">
        <f t="shared" si="79"/>
        <v>#DIV/0!</v>
      </c>
      <c r="K127" s="21" t="e">
        <f t="shared" si="79"/>
        <v>#DIV/0!</v>
      </c>
      <c r="L127" s="21" t="e">
        <f t="shared" si="79"/>
        <v>#DIV/0!</v>
      </c>
      <c r="M127" s="21" t="e">
        <f t="shared" si="79"/>
        <v>#DIV/0!</v>
      </c>
      <c r="N127" s="21" t="e">
        <f t="shared" si="79"/>
        <v>#DIV/0!</v>
      </c>
      <c r="O127" s="21" t="e">
        <f t="shared" si="79"/>
        <v>#DIV/0!</v>
      </c>
      <c r="P127" s="21" t="e">
        <f t="shared" si="79"/>
        <v>#DIV/0!</v>
      </c>
      <c r="Q127" s="21" t="e">
        <f t="shared" si="79"/>
        <v>#DIV/0!</v>
      </c>
    </row>
    <row r="128" spans="2:17" x14ac:dyDescent="0.25">
      <c r="B128" s="23" t="s">
        <v>61</v>
      </c>
      <c r="C128" s="23" t="s">
        <v>47</v>
      </c>
      <c r="D128" s="21" t="e">
        <f>D126*EXP(-D$29/(0.7*$D$13)*$C$80)</f>
        <v>#DIV/0!</v>
      </c>
      <c r="E128" s="21" t="e">
        <f t="shared" ref="E128:Q128" si="80">E126*EXP(-E$18/(0.7*$D$13)*$C$80)</f>
        <v>#DIV/0!</v>
      </c>
      <c r="F128" s="21" t="e">
        <f t="shared" si="80"/>
        <v>#DIV/0!</v>
      </c>
      <c r="G128" s="21" t="e">
        <f t="shared" si="80"/>
        <v>#DIV/0!</v>
      </c>
      <c r="H128" s="21" t="e">
        <f t="shared" si="80"/>
        <v>#DIV/0!</v>
      </c>
      <c r="I128" s="21" t="e">
        <f t="shared" si="80"/>
        <v>#DIV/0!</v>
      </c>
      <c r="J128" s="21" t="e">
        <f t="shared" si="80"/>
        <v>#DIV/0!</v>
      </c>
      <c r="K128" s="21" t="e">
        <f t="shared" si="80"/>
        <v>#DIV/0!</v>
      </c>
      <c r="L128" s="21" t="e">
        <f t="shared" si="80"/>
        <v>#DIV/0!</v>
      </c>
      <c r="M128" s="21" t="e">
        <f t="shared" si="80"/>
        <v>#DIV/0!</v>
      </c>
      <c r="N128" s="21" t="e">
        <f t="shared" si="80"/>
        <v>#DIV/0!</v>
      </c>
      <c r="O128" s="21" t="e">
        <f t="shared" si="80"/>
        <v>#DIV/0!</v>
      </c>
      <c r="P128" s="21" t="e">
        <f t="shared" si="80"/>
        <v>#DIV/0!</v>
      </c>
      <c r="Q128" s="21" t="e">
        <f t="shared" si="80"/>
        <v>#DIV/0!</v>
      </c>
    </row>
    <row r="129" spans="2:17" x14ac:dyDescent="0.25">
      <c r="B129" s="23" t="s">
        <v>61</v>
      </c>
      <c r="C129" s="23" t="s">
        <v>30</v>
      </c>
      <c r="D129" s="21" t="e">
        <f>D128+D$81</f>
        <v>#DIV/0!</v>
      </c>
      <c r="E129" s="21" t="e">
        <f>E128+E$81</f>
        <v>#DIV/0!</v>
      </c>
      <c r="F129" s="21" t="e">
        <f t="shared" ref="F129:Q129" si="81">F128+F$81</f>
        <v>#DIV/0!</v>
      </c>
      <c r="G129" s="21" t="e">
        <f t="shared" si="81"/>
        <v>#DIV/0!</v>
      </c>
      <c r="H129" s="21" t="e">
        <f t="shared" si="81"/>
        <v>#DIV/0!</v>
      </c>
      <c r="I129" s="21" t="e">
        <f t="shared" si="81"/>
        <v>#DIV/0!</v>
      </c>
      <c r="J129" s="21" t="e">
        <f t="shared" si="81"/>
        <v>#DIV/0!</v>
      </c>
      <c r="K129" s="21" t="e">
        <f t="shared" si="81"/>
        <v>#DIV/0!</v>
      </c>
      <c r="L129" s="21" t="e">
        <f t="shared" si="81"/>
        <v>#DIV/0!</v>
      </c>
      <c r="M129" s="21" t="e">
        <f t="shared" si="81"/>
        <v>#DIV/0!</v>
      </c>
      <c r="N129" s="21" t="e">
        <f t="shared" si="81"/>
        <v>#DIV/0!</v>
      </c>
      <c r="O129" s="21" t="e">
        <f t="shared" si="81"/>
        <v>#DIV/0!</v>
      </c>
      <c r="P129" s="21" t="e">
        <f t="shared" si="81"/>
        <v>#DIV/0!</v>
      </c>
      <c r="Q129" s="21" t="e">
        <f t="shared" si="81"/>
        <v>#DIV/0!</v>
      </c>
    </row>
    <row r="130" spans="2:17" x14ac:dyDescent="0.25">
      <c r="B130" s="23" t="s">
        <v>61</v>
      </c>
      <c r="C130" s="23" t="s">
        <v>43</v>
      </c>
      <c r="D130" s="21" t="e">
        <f>D129*EXP(-D$29/($D$13*0.7)*12)</f>
        <v>#DIV/0!</v>
      </c>
      <c r="E130" s="21" t="e">
        <f t="shared" ref="E130:Q130" si="82">E129*EXP(-E$18/($D$13*0.7)*12)</f>
        <v>#DIV/0!</v>
      </c>
      <c r="F130" s="21" t="e">
        <f t="shared" si="82"/>
        <v>#DIV/0!</v>
      </c>
      <c r="G130" s="21" t="e">
        <f t="shared" si="82"/>
        <v>#DIV/0!</v>
      </c>
      <c r="H130" s="21" t="e">
        <f t="shared" si="82"/>
        <v>#DIV/0!</v>
      </c>
      <c r="I130" s="21" t="e">
        <f t="shared" si="82"/>
        <v>#DIV/0!</v>
      </c>
      <c r="J130" s="21" t="e">
        <f t="shared" si="82"/>
        <v>#DIV/0!</v>
      </c>
      <c r="K130" s="21" t="e">
        <f t="shared" si="82"/>
        <v>#DIV/0!</v>
      </c>
      <c r="L130" s="21" t="e">
        <f t="shared" si="82"/>
        <v>#DIV/0!</v>
      </c>
      <c r="M130" s="21" t="e">
        <f t="shared" si="82"/>
        <v>#DIV/0!</v>
      </c>
      <c r="N130" s="21" t="e">
        <f t="shared" si="82"/>
        <v>#DIV/0!</v>
      </c>
      <c r="O130" s="21" t="e">
        <f t="shared" si="82"/>
        <v>#DIV/0!</v>
      </c>
      <c r="P130" s="21" t="e">
        <f t="shared" si="82"/>
        <v>#DIV/0!</v>
      </c>
      <c r="Q130" s="21" t="e">
        <f t="shared" si="82"/>
        <v>#DIV/0!</v>
      </c>
    </row>
    <row r="131" spans="2:17" x14ac:dyDescent="0.25">
      <c r="B131" s="23" t="s">
        <v>62</v>
      </c>
      <c r="C131" s="23" t="s">
        <v>47</v>
      </c>
      <c r="D131" s="21" t="e">
        <f>D129*EXP(-D$29/(0.7*$D$13)*$C$80)</f>
        <v>#DIV/0!</v>
      </c>
      <c r="E131" s="21" t="e">
        <f t="shared" ref="E131:Q131" si="83">E129*EXP(-E$18/(0.7*$D$13)*$C$80)</f>
        <v>#DIV/0!</v>
      </c>
      <c r="F131" s="21" t="e">
        <f t="shared" si="83"/>
        <v>#DIV/0!</v>
      </c>
      <c r="G131" s="21" t="e">
        <f t="shared" si="83"/>
        <v>#DIV/0!</v>
      </c>
      <c r="H131" s="21" t="e">
        <f t="shared" si="83"/>
        <v>#DIV/0!</v>
      </c>
      <c r="I131" s="21" t="e">
        <f t="shared" si="83"/>
        <v>#DIV/0!</v>
      </c>
      <c r="J131" s="21" t="e">
        <f t="shared" si="83"/>
        <v>#DIV/0!</v>
      </c>
      <c r="K131" s="21" t="e">
        <f t="shared" si="83"/>
        <v>#DIV/0!</v>
      </c>
      <c r="L131" s="21" t="e">
        <f t="shared" si="83"/>
        <v>#DIV/0!</v>
      </c>
      <c r="M131" s="21" t="e">
        <f t="shared" si="83"/>
        <v>#DIV/0!</v>
      </c>
      <c r="N131" s="21" t="e">
        <f t="shared" si="83"/>
        <v>#DIV/0!</v>
      </c>
      <c r="O131" s="21" t="e">
        <f t="shared" si="83"/>
        <v>#DIV/0!</v>
      </c>
      <c r="P131" s="21" t="e">
        <f t="shared" si="83"/>
        <v>#DIV/0!</v>
      </c>
      <c r="Q131" s="21" t="e">
        <f t="shared" si="83"/>
        <v>#DIV/0!</v>
      </c>
    </row>
    <row r="132" spans="2:17" x14ac:dyDescent="0.25">
      <c r="B132" s="23" t="s">
        <v>62</v>
      </c>
      <c r="C132" s="23" t="s">
        <v>30</v>
      </c>
      <c r="D132" s="21" t="e">
        <f>D131+D$81</f>
        <v>#DIV/0!</v>
      </c>
      <c r="E132" s="21" t="e">
        <f>E131+E$81</f>
        <v>#DIV/0!</v>
      </c>
      <c r="F132" s="21" t="e">
        <f t="shared" ref="F132:Q132" si="84">F131+F$81</f>
        <v>#DIV/0!</v>
      </c>
      <c r="G132" s="21" t="e">
        <f t="shared" si="84"/>
        <v>#DIV/0!</v>
      </c>
      <c r="H132" s="21" t="e">
        <f t="shared" si="84"/>
        <v>#DIV/0!</v>
      </c>
      <c r="I132" s="21" t="e">
        <f t="shared" si="84"/>
        <v>#DIV/0!</v>
      </c>
      <c r="J132" s="21" t="e">
        <f t="shared" si="84"/>
        <v>#DIV/0!</v>
      </c>
      <c r="K132" s="21" t="e">
        <f t="shared" si="84"/>
        <v>#DIV/0!</v>
      </c>
      <c r="L132" s="21" t="e">
        <f t="shared" si="84"/>
        <v>#DIV/0!</v>
      </c>
      <c r="M132" s="21" t="e">
        <f t="shared" si="84"/>
        <v>#DIV/0!</v>
      </c>
      <c r="N132" s="21" t="e">
        <f t="shared" si="84"/>
        <v>#DIV/0!</v>
      </c>
      <c r="O132" s="21" t="e">
        <f t="shared" si="84"/>
        <v>#DIV/0!</v>
      </c>
      <c r="P132" s="21" t="e">
        <f t="shared" si="84"/>
        <v>#DIV/0!</v>
      </c>
      <c r="Q132" s="21" t="e">
        <f t="shared" si="84"/>
        <v>#DIV/0!</v>
      </c>
    </row>
    <row r="133" spans="2:17" x14ac:dyDescent="0.25">
      <c r="B133" s="23" t="s">
        <v>62</v>
      </c>
      <c r="C133" s="23" t="s">
        <v>43</v>
      </c>
      <c r="D133" s="21" t="e">
        <f>D132*EXP(-D$29/($D$13*0.7)*12)</f>
        <v>#DIV/0!</v>
      </c>
      <c r="E133" s="21" t="e">
        <f t="shared" ref="E133:Q133" si="85">E132*EXP(-E$18/($D$13*0.7)*12)</f>
        <v>#DIV/0!</v>
      </c>
      <c r="F133" s="21" t="e">
        <f t="shared" si="85"/>
        <v>#DIV/0!</v>
      </c>
      <c r="G133" s="21" t="e">
        <f t="shared" si="85"/>
        <v>#DIV/0!</v>
      </c>
      <c r="H133" s="21" t="e">
        <f t="shared" si="85"/>
        <v>#DIV/0!</v>
      </c>
      <c r="I133" s="21" t="e">
        <f t="shared" si="85"/>
        <v>#DIV/0!</v>
      </c>
      <c r="J133" s="21" t="e">
        <f t="shared" si="85"/>
        <v>#DIV/0!</v>
      </c>
      <c r="K133" s="21" t="e">
        <f t="shared" si="85"/>
        <v>#DIV/0!</v>
      </c>
      <c r="L133" s="21" t="e">
        <f t="shared" si="85"/>
        <v>#DIV/0!</v>
      </c>
      <c r="M133" s="21" t="e">
        <f t="shared" si="85"/>
        <v>#DIV/0!</v>
      </c>
      <c r="N133" s="21" t="e">
        <f t="shared" si="85"/>
        <v>#DIV/0!</v>
      </c>
      <c r="O133" s="21" t="e">
        <f t="shared" si="85"/>
        <v>#DIV/0!</v>
      </c>
      <c r="P133" s="21" t="e">
        <f t="shared" si="85"/>
        <v>#DIV/0!</v>
      </c>
      <c r="Q133" s="21" t="e">
        <f t="shared" si="85"/>
        <v>#DIV/0!</v>
      </c>
    </row>
    <row r="134" spans="2:17" x14ac:dyDescent="0.25">
      <c r="B134" s="23" t="s">
        <v>63</v>
      </c>
      <c r="C134" s="23" t="s">
        <v>47</v>
      </c>
      <c r="D134" s="21" t="e">
        <f>D132*EXP(-D$29/(0.7*$D$13)*$C$80)</f>
        <v>#DIV/0!</v>
      </c>
      <c r="E134" s="21" t="e">
        <f t="shared" ref="E134:Q134" si="86">E132*EXP(-E$18/(0.7*$D$13)*$C$80)</f>
        <v>#DIV/0!</v>
      </c>
      <c r="F134" s="21" t="e">
        <f t="shared" si="86"/>
        <v>#DIV/0!</v>
      </c>
      <c r="G134" s="21" t="e">
        <f t="shared" si="86"/>
        <v>#DIV/0!</v>
      </c>
      <c r="H134" s="21" t="e">
        <f t="shared" si="86"/>
        <v>#DIV/0!</v>
      </c>
      <c r="I134" s="21" t="e">
        <f t="shared" si="86"/>
        <v>#DIV/0!</v>
      </c>
      <c r="J134" s="21" t="e">
        <f t="shared" si="86"/>
        <v>#DIV/0!</v>
      </c>
      <c r="K134" s="21" t="e">
        <f t="shared" si="86"/>
        <v>#DIV/0!</v>
      </c>
      <c r="L134" s="21" t="e">
        <f t="shared" si="86"/>
        <v>#DIV/0!</v>
      </c>
      <c r="M134" s="21" t="e">
        <f t="shared" si="86"/>
        <v>#DIV/0!</v>
      </c>
      <c r="N134" s="21" t="e">
        <f t="shared" si="86"/>
        <v>#DIV/0!</v>
      </c>
      <c r="O134" s="21" t="e">
        <f t="shared" si="86"/>
        <v>#DIV/0!</v>
      </c>
      <c r="P134" s="21" t="e">
        <f t="shared" si="86"/>
        <v>#DIV/0!</v>
      </c>
      <c r="Q134" s="21" t="e">
        <f t="shared" si="86"/>
        <v>#DIV/0!</v>
      </c>
    </row>
    <row r="135" spans="2:17" x14ac:dyDescent="0.25">
      <c r="B135" s="23" t="s">
        <v>63</v>
      </c>
      <c r="C135" s="23" t="s">
        <v>30</v>
      </c>
      <c r="D135" s="21" t="e">
        <f>D134+D$81</f>
        <v>#DIV/0!</v>
      </c>
      <c r="E135" s="21" t="e">
        <f>E134+E$81</f>
        <v>#DIV/0!</v>
      </c>
      <c r="F135" s="21" t="e">
        <f t="shared" ref="F135:Q135" si="87">F134+F$81</f>
        <v>#DIV/0!</v>
      </c>
      <c r="G135" s="21" t="e">
        <f t="shared" si="87"/>
        <v>#DIV/0!</v>
      </c>
      <c r="H135" s="21" t="e">
        <f t="shared" si="87"/>
        <v>#DIV/0!</v>
      </c>
      <c r="I135" s="21" t="e">
        <f t="shared" si="87"/>
        <v>#DIV/0!</v>
      </c>
      <c r="J135" s="21" t="e">
        <f t="shared" si="87"/>
        <v>#DIV/0!</v>
      </c>
      <c r="K135" s="21" t="e">
        <f t="shared" si="87"/>
        <v>#DIV/0!</v>
      </c>
      <c r="L135" s="21" t="e">
        <f t="shared" si="87"/>
        <v>#DIV/0!</v>
      </c>
      <c r="M135" s="21" t="e">
        <f t="shared" si="87"/>
        <v>#DIV/0!</v>
      </c>
      <c r="N135" s="21" t="e">
        <f t="shared" si="87"/>
        <v>#DIV/0!</v>
      </c>
      <c r="O135" s="21" t="e">
        <f t="shared" si="87"/>
        <v>#DIV/0!</v>
      </c>
      <c r="P135" s="21" t="e">
        <f t="shared" si="87"/>
        <v>#DIV/0!</v>
      </c>
      <c r="Q135" s="21" t="e">
        <f t="shared" si="87"/>
        <v>#DIV/0!</v>
      </c>
    </row>
    <row r="136" spans="2:17" x14ac:dyDescent="0.25">
      <c r="B136" s="23" t="s">
        <v>63</v>
      </c>
      <c r="C136" s="23" t="s">
        <v>43</v>
      </c>
      <c r="D136" s="21" t="e">
        <f>D135*EXP(-D$29/($D$13*0.7)*12)</f>
        <v>#DIV/0!</v>
      </c>
      <c r="E136" s="21" t="e">
        <f t="shared" ref="E136:Q136" si="88">E135*EXP(-E$18/($D$13*0.7)*12)</f>
        <v>#DIV/0!</v>
      </c>
      <c r="F136" s="21" t="e">
        <f t="shared" si="88"/>
        <v>#DIV/0!</v>
      </c>
      <c r="G136" s="21" t="e">
        <f t="shared" si="88"/>
        <v>#DIV/0!</v>
      </c>
      <c r="H136" s="21" t="e">
        <f t="shared" si="88"/>
        <v>#DIV/0!</v>
      </c>
      <c r="I136" s="21" t="e">
        <f t="shared" si="88"/>
        <v>#DIV/0!</v>
      </c>
      <c r="J136" s="21" t="e">
        <f t="shared" si="88"/>
        <v>#DIV/0!</v>
      </c>
      <c r="K136" s="21" t="e">
        <f t="shared" si="88"/>
        <v>#DIV/0!</v>
      </c>
      <c r="L136" s="21" t="e">
        <f t="shared" si="88"/>
        <v>#DIV/0!</v>
      </c>
      <c r="M136" s="21" t="e">
        <f t="shared" si="88"/>
        <v>#DIV/0!</v>
      </c>
      <c r="N136" s="21" t="e">
        <f t="shared" si="88"/>
        <v>#DIV/0!</v>
      </c>
      <c r="O136" s="21" t="e">
        <f t="shared" si="88"/>
        <v>#DIV/0!</v>
      </c>
      <c r="P136" s="21" t="e">
        <f t="shared" si="88"/>
        <v>#DIV/0!</v>
      </c>
      <c r="Q136" s="21" t="e">
        <f t="shared" si="88"/>
        <v>#DIV/0!</v>
      </c>
    </row>
    <row r="137" spans="2:17" x14ac:dyDescent="0.25">
      <c r="B137" s="23" t="s">
        <v>64</v>
      </c>
      <c r="C137" s="23" t="s">
        <v>47</v>
      </c>
      <c r="D137" s="21" t="e">
        <f>D135*EXP(-D$29/(0.7*$D$13)*$C$80)</f>
        <v>#DIV/0!</v>
      </c>
      <c r="E137" s="21" t="e">
        <f t="shared" ref="E137:Q137" si="89">E135*EXP(-E$18/(0.7*$D$13)*$C$80)</f>
        <v>#DIV/0!</v>
      </c>
      <c r="F137" s="21" t="e">
        <f t="shared" si="89"/>
        <v>#DIV/0!</v>
      </c>
      <c r="G137" s="21" t="e">
        <f t="shared" si="89"/>
        <v>#DIV/0!</v>
      </c>
      <c r="H137" s="21" t="e">
        <f t="shared" si="89"/>
        <v>#DIV/0!</v>
      </c>
      <c r="I137" s="21" t="e">
        <f t="shared" si="89"/>
        <v>#DIV/0!</v>
      </c>
      <c r="J137" s="21" t="e">
        <f t="shared" si="89"/>
        <v>#DIV/0!</v>
      </c>
      <c r="K137" s="21" t="e">
        <f t="shared" si="89"/>
        <v>#DIV/0!</v>
      </c>
      <c r="L137" s="21" t="e">
        <f t="shared" si="89"/>
        <v>#DIV/0!</v>
      </c>
      <c r="M137" s="21" t="e">
        <f t="shared" si="89"/>
        <v>#DIV/0!</v>
      </c>
      <c r="N137" s="21" t="e">
        <f t="shared" si="89"/>
        <v>#DIV/0!</v>
      </c>
      <c r="O137" s="21" t="e">
        <f t="shared" si="89"/>
        <v>#DIV/0!</v>
      </c>
      <c r="P137" s="21" t="e">
        <f t="shared" si="89"/>
        <v>#DIV/0!</v>
      </c>
      <c r="Q137" s="21" t="e">
        <f t="shared" si="89"/>
        <v>#DIV/0!</v>
      </c>
    </row>
    <row r="138" spans="2:17" x14ac:dyDescent="0.25">
      <c r="B138" s="23" t="s">
        <v>64</v>
      </c>
      <c r="C138" s="23" t="s">
        <v>30</v>
      </c>
      <c r="D138" s="21" t="e">
        <f>D137+D$81</f>
        <v>#DIV/0!</v>
      </c>
      <c r="E138" s="21" t="e">
        <f>E137+E$81</f>
        <v>#DIV/0!</v>
      </c>
      <c r="F138" s="21" t="e">
        <f t="shared" ref="F138:Q138" si="90">F137+F$81</f>
        <v>#DIV/0!</v>
      </c>
      <c r="G138" s="21" t="e">
        <f t="shared" si="90"/>
        <v>#DIV/0!</v>
      </c>
      <c r="H138" s="21" t="e">
        <f t="shared" si="90"/>
        <v>#DIV/0!</v>
      </c>
      <c r="I138" s="21" t="e">
        <f t="shared" si="90"/>
        <v>#DIV/0!</v>
      </c>
      <c r="J138" s="21" t="e">
        <f t="shared" si="90"/>
        <v>#DIV/0!</v>
      </c>
      <c r="K138" s="21" t="e">
        <f t="shared" si="90"/>
        <v>#DIV/0!</v>
      </c>
      <c r="L138" s="21" t="e">
        <f t="shared" si="90"/>
        <v>#DIV/0!</v>
      </c>
      <c r="M138" s="21" t="e">
        <f t="shared" si="90"/>
        <v>#DIV/0!</v>
      </c>
      <c r="N138" s="21" t="e">
        <f t="shared" si="90"/>
        <v>#DIV/0!</v>
      </c>
      <c r="O138" s="21" t="e">
        <f t="shared" si="90"/>
        <v>#DIV/0!</v>
      </c>
      <c r="P138" s="21" t="e">
        <f t="shared" si="90"/>
        <v>#DIV/0!</v>
      </c>
      <c r="Q138" s="21" t="e">
        <f t="shared" si="90"/>
        <v>#DIV/0!</v>
      </c>
    </row>
    <row r="139" spans="2:17" x14ac:dyDescent="0.25">
      <c r="B139" s="23" t="s">
        <v>64</v>
      </c>
      <c r="C139" s="23" t="s">
        <v>43</v>
      </c>
      <c r="D139" s="21" t="e">
        <f>D138*EXP(-D$29/($D$13*0.7)*12)</f>
        <v>#DIV/0!</v>
      </c>
      <c r="E139" s="21" t="e">
        <f t="shared" ref="E139:Q139" si="91">E138*EXP(-E$18/($D$13*0.7)*12)</f>
        <v>#DIV/0!</v>
      </c>
      <c r="F139" s="21" t="e">
        <f t="shared" si="91"/>
        <v>#DIV/0!</v>
      </c>
      <c r="G139" s="21" t="e">
        <f t="shared" si="91"/>
        <v>#DIV/0!</v>
      </c>
      <c r="H139" s="21" t="e">
        <f t="shared" si="91"/>
        <v>#DIV/0!</v>
      </c>
      <c r="I139" s="21" t="e">
        <f t="shared" si="91"/>
        <v>#DIV/0!</v>
      </c>
      <c r="J139" s="21" t="e">
        <f t="shared" si="91"/>
        <v>#DIV/0!</v>
      </c>
      <c r="K139" s="21" t="e">
        <f t="shared" si="91"/>
        <v>#DIV/0!</v>
      </c>
      <c r="L139" s="21" t="e">
        <f t="shared" si="91"/>
        <v>#DIV/0!</v>
      </c>
      <c r="M139" s="21" t="e">
        <f t="shared" si="91"/>
        <v>#DIV/0!</v>
      </c>
      <c r="N139" s="21" t="e">
        <f t="shared" si="91"/>
        <v>#DIV/0!</v>
      </c>
      <c r="O139" s="21" t="e">
        <f t="shared" si="91"/>
        <v>#DIV/0!</v>
      </c>
      <c r="P139" s="21" t="e">
        <f t="shared" si="91"/>
        <v>#DIV/0!</v>
      </c>
      <c r="Q139" s="21" t="e">
        <f t="shared" si="91"/>
        <v>#DIV/0!</v>
      </c>
    </row>
    <row r="140" spans="2:17" x14ac:dyDescent="0.25">
      <c r="B140" s="23" t="s">
        <v>65</v>
      </c>
      <c r="C140" s="23" t="s">
        <v>47</v>
      </c>
      <c r="D140" s="21" t="e">
        <f>D138*EXP(-D$29/(0.7*$D$13)*$C$80)</f>
        <v>#DIV/0!</v>
      </c>
      <c r="E140" s="21" t="e">
        <f t="shared" ref="E140:Q140" si="92">E138*EXP(-E$18/(0.7*$D$13)*$C$80)</f>
        <v>#DIV/0!</v>
      </c>
      <c r="F140" s="21" t="e">
        <f t="shared" si="92"/>
        <v>#DIV/0!</v>
      </c>
      <c r="G140" s="21" t="e">
        <f t="shared" si="92"/>
        <v>#DIV/0!</v>
      </c>
      <c r="H140" s="21" t="e">
        <f t="shared" si="92"/>
        <v>#DIV/0!</v>
      </c>
      <c r="I140" s="21" t="e">
        <f t="shared" si="92"/>
        <v>#DIV/0!</v>
      </c>
      <c r="J140" s="21" t="e">
        <f t="shared" si="92"/>
        <v>#DIV/0!</v>
      </c>
      <c r="K140" s="21" t="e">
        <f t="shared" si="92"/>
        <v>#DIV/0!</v>
      </c>
      <c r="L140" s="21" t="e">
        <f t="shared" si="92"/>
        <v>#DIV/0!</v>
      </c>
      <c r="M140" s="21" t="e">
        <f t="shared" si="92"/>
        <v>#DIV/0!</v>
      </c>
      <c r="N140" s="21" t="e">
        <f t="shared" si="92"/>
        <v>#DIV/0!</v>
      </c>
      <c r="O140" s="21" t="e">
        <f t="shared" si="92"/>
        <v>#DIV/0!</v>
      </c>
      <c r="P140" s="21" t="e">
        <f t="shared" si="92"/>
        <v>#DIV/0!</v>
      </c>
      <c r="Q140" s="21" t="e">
        <f t="shared" si="92"/>
        <v>#DIV/0!</v>
      </c>
    </row>
    <row r="141" spans="2:17" x14ac:dyDescent="0.25">
      <c r="B141" s="23" t="s">
        <v>65</v>
      </c>
      <c r="C141" s="23" t="s">
        <v>30</v>
      </c>
      <c r="D141" s="21" t="e">
        <f>D140+D$81</f>
        <v>#DIV/0!</v>
      </c>
      <c r="E141" s="21" t="e">
        <f>E140+E$81</f>
        <v>#DIV/0!</v>
      </c>
      <c r="F141" s="21" t="e">
        <f t="shared" ref="F141:Q141" si="93">F140+F$81</f>
        <v>#DIV/0!</v>
      </c>
      <c r="G141" s="21" t="e">
        <f t="shared" si="93"/>
        <v>#DIV/0!</v>
      </c>
      <c r="H141" s="21" t="e">
        <f t="shared" si="93"/>
        <v>#DIV/0!</v>
      </c>
      <c r="I141" s="21" t="e">
        <f t="shared" si="93"/>
        <v>#DIV/0!</v>
      </c>
      <c r="J141" s="21" t="e">
        <f t="shared" si="93"/>
        <v>#DIV/0!</v>
      </c>
      <c r="K141" s="21" t="e">
        <f t="shared" si="93"/>
        <v>#DIV/0!</v>
      </c>
      <c r="L141" s="21" t="e">
        <f t="shared" si="93"/>
        <v>#DIV/0!</v>
      </c>
      <c r="M141" s="21" t="e">
        <f t="shared" si="93"/>
        <v>#DIV/0!</v>
      </c>
      <c r="N141" s="21" t="e">
        <f t="shared" si="93"/>
        <v>#DIV/0!</v>
      </c>
      <c r="O141" s="21" t="e">
        <f t="shared" si="93"/>
        <v>#DIV/0!</v>
      </c>
      <c r="P141" s="21" t="e">
        <f t="shared" si="93"/>
        <v>#DIV/0!</v>
      </c>
      <c r="Q141" s="21" t="e">
        <f t="shared" si="93"/>
        <v>#DIV/0!</v>
      </c>
    </row>
    <row r="142" spans="2:17" x14ac:dyDescent="0.25">
      <c r="H142" t="s">
        <v>66</v>
      </c>
    </row>
  </sheetData>
  <sheetProtection algorithmName="SHA-512" hashValue="9UU6M3K5EcT6RCtsuKIddZ7zFO07ALiBQcLs0sIioJvOtsanryIzve/BLoRUmASA0YLi1eHt5Qp/cnTYQEt6IQ==" saltValue="CxGfNSW4wKhlmNMKINhsLg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46CDDE-CBEF-4EA6-A4E0-FAC80EE5BC78}">
          <x14:formula1>
            <xm:f>ParameterSelection!$D$2:$D$3</xm:f>
          </x14:formula1>
          <xm:sqref>D9</xm:sqref>
        </x14:dataValidation>
        <x14:dataValidation type="list" allowBlank="1" showInputMessage="1" showErrorMessage="1" xr:uid="{5C0197FB-A1F1-4148-A5DD-8219B8BC3A1B}">
          <x14:formula1>
            <xm:f>ParameterSelection!$B$2:$B$3</xm:f>
          </x14:formula1>
          <xm:sqref>D15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DC5B-2D92-4C04-8186-1C42F14CB93F}">
  <dimension ref="B1:H5"/>
  <sheetViews>
    <sheetView workbookViewId="0">
      <selection activeCell="F6" sqref="F6"/>
    </sheetView>
  </sheetViews>
  <sheetFormatPr defaultRowHeight="15" x14ac:dyDescent="0.25"/>
  <cols>
    <col min="2" max="2" width="10.140625" bestFit="1" customWidth="1"/>
    <col min="3" max="3" width="11.85546875" bestFit="1" customWidth="1"/>
    <col min="5" max="5" width="17.42578125" bestFit="1" customWidth="1"/>
    <col min="6" max="6" width="17.42578125" customWidth="1"/>
    <col min="7" max="7" width="22.5703125" bestFit="1" customWidth="1"/>
  </cols>
  <sheetData>
    <row r="1" spans="2:8" x14ac:dyDescent="0.25">
      <c r="B1" t="s">
        <v>67</v>
      </c>
      <c r="C1" t="s">
        <v>68</v>
      </c>
      <c r="D1" t="s">
        <v>69</v>
      </c>
      <c r="E1" t="s">
        <v>221</v>
      </c>
      <c r="H1" t="s">
        <v>223</v>
      </c>
    </row>
    <row r="2" spans="2:8" x14ac:dyDescent="0.25">
      <c r="B2" t="s">
        <v>22</v>
      </c>
      <c r="C2">
        <f>8.12</f>
        <v>8.1199999999999992</v>
      </c>
      <c r="D2" t="s">
        <v>12</v>
      </c>
      <c r="E2">
        <v>0.85</v>
      </c>
      <c r="F2" t="s">
        <v>227</v>
      </c>
      <c r="G2" t="s">
        <v>224</v>
      </c>
      <c r="H2">
        <v>0.93</v>
      </c>
    </row>
    <row r="3" spans="2:8" x14ac:dyDescent="0.25">
      <c r="B3" t="s">
        <v>70</v>
      </c>
      <c r="C3">
        <v>8</v>
      </c>
      <c r="D3" t="s">
        <v>71</v>
      </c>
      <c r="E3">
        <v>0.9</v>
      </c>
      <c r="F3" t="s">
        <v>227</v>
      </c>
      <c r="G3" t="s">
        <v>225</v>
      </c>
      <c r="H3">
        <v>0.85</v>
      </c>
    </row>
    <row r="4" spans="2:8" x14ac:dyDescent="0.25">
      <c r="E4">
        <v>0.95</v>
      </c>
      <c r="F4" t="s">
        <v>227</v>
      </c>
      <c r="G4" t="s">
        <v>226</v>
      </c>
      <c r="H4">
        <v>0.53</v>
      </c>
    </row>
    <row r="5" spans="2:8" x14ac:dyDescent="0.25">
      <c r="E5">
        <v>1</v>
      </c>
      <c r="F5" t="s">
        <v>228</v>
      </c>
      <c r="H5">
        <v>0.7</v>
      </c>
    </row>
  </sheetData>
  <sheetProtection algorithmName="SHA-512" hashValue="WLG2vGgLhRBhFKZSgplhKeeG8db8zMSZXP3Nlf3Mq1AkMjARW73y/y22JyJpKfCHOPcfnbWvWScTGkcnIkayig==" saltValue="kAqVmdt7LPMQa2IWRk6YCg==" spinCount="100000"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Lithium Dosing Steady State </vt:lpstr>
      <vt:lpstr>SSNonSSDosing</vt:lpstr>
      <vt:lpstr>Test Dose Single Point Method</vt:lpstr>
      <vt:lpstr>Comparison of Methods</vt:lpstr>
      <vt:lpstr>Multiple Level Post Test Dose</vt:lpstr>
      <vt:lpstr>ParameterSelection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dcterms:created xsi:type="dcterms:W3CDTF">2020-07-06T14:22:31Z</dcterms:created>
  <dcterms:modified xsi:type="dcterms:W3CDTF">2023-02-13T13:43:51Z</dcterms:modified>
</cp:coreProperties>
</file>