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kineticdrugdosingwebsitefiles\"/>
    </mc:Choice>
  </mc:AlternateContent>
  <xr:revisionPtr revIDLastSave="0" documentId="8_{2C58902C-C220-456F-AF70-04AE362C0777}" xr6:coauthVersionLast="47" xr6:coauthVersionMax="47" xr10:uidLastSave="{00000000-0000-0000-0000-000000000000}"/>
  <bookViews>
    <workbookView xWindow="-120" yWindow="-120" windowWidth="25440" windowHeight="15390" xr2:uid="{657E7A7C-0395-4EFB-B77C-C5F2A5BA126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2" i="1" l="1"/>
  <c r="N112" i="1"/>
  <c r="O112" i="1"/>
  <c r="P112" i="1"/>
  <c r="Q112" i="1"/>
  <c r="R112" i="1"/>
  <c r="S112" i="1"/>
  <c r="U112" i="1"/>
  <c r="V112" i="1"/>
  <c r="W112" i="1"/>
  <c r="X112" i="1"/>
  <c r="Y112" i="1"/>
  <c r="Z112" i="1"/>
  <c r="AA112" i="1"/>
  <c r="AC112" i="1"/>
  <c r="AD112" i="1"/>
  <c r="AE112" i="1"/>
  <c r="AF112" i="1"/>
  <c r="AG112" i="1"/>
  <c r="AH112" i="1"/>
  <c r="AI112" i="1"/>
  <c r="AK112" i="1"/>
  <c r="AL112" i="1"/>
  <c r="AM112" i="1"/>
  <c r="AN112" i="1"/>
  <c r="AO112" i="1"/>
  <c r="AP112" i="1"/>
  <c r="AQ112" i="1"/>
  <c r="AS112" i="1"/>
  <c r="AT112" i="1"/>
  <c r="AU112" i="1"/>
  <c r="AV112" i="1"/>
  <c r="AW112" i="1"/>
  <c r="AX112" i="1"/>
  <c r="AY112" i="1"/>
  <c r="BA112" i="1"/>
  <c r="BB112" i="1"/>
  <c r="BC112" i="1"/>
  <c r="BD112" i="1"/>
  <c r="BE112" i="1"/>
  <c r="BF112" i="1"/>
  <c r="BG112" i="1"/>
  <c r="BI112" i="1"/>
  <c r="BJ112" i="1"/>
  <c r="BK112" i="1"/>
  <c r="BL112" i="1"/>
  <c r="BM112" i="1"/>
  <c r="BN112" i="1"/>
  <c r="BO112" i="1"/>
  <c r="BQ112" i="1"/>
  <c r="BR112" i="1"/>
  <c r="BS112" i="1"/>
  <c r="BT112" i="1"/>
  <c r="BU112" i="1"/>
  <c r="BV112" i="1"/>
  <c r="BW112" i="1"/>
  <c r="BY112" i="1"/>
  <c r="BZ112" i="1"/>
  <c r="CA112" i="1"/>
  <c r="CB112" i="1"/>
  <c r="CC112" i="1"/>
  <c r="CD112" i="1"/>
  <c r="CE112" i="1"/>
  <c r="E112" i="1"/>
  <c r="F112" i="1"/>
  <c r="G112" i="1"/>
  <c r="H112" i="1"/>
  <c r="I112" i="1"/>
  <c r="J112" i="1"/>
  <c r="K112" i="1"/>
  <c r="D112" i="1"/>
  <c r="CG112" i="1"/>
  <c r="CH112" i="1"/>
  <c r="CI112" i="1"/>
  <c r="CJ112" i="1"/>
  <c r="CK112" i="1"/>
  <c r="CL112" i="1"/>
  <c r="CM112" i="1"/>
  <c r="CO112" i="1"/>
  <c r="CP112" i="1"/>
  <c r="H113" i="1"/>
  <c r="I29" i="1"/>
  <c r="D6" i="1"/>
  <c r="E3" i="2"/>
  <c r="D3" i="2"/>
  <c r="C3" i="2" s="1"/>
  <c r="D73" i="1" l="1"/>
  <c r="D74" i="1"/>
  <c r="D75" i="1"/>
  <c r="D79" i="1"/>
  <c r="E2" i="2"/>
  <c r="D78" i="1" s="1"/>
  <c r="D4" i="1" s="1"/>
  <c r="D7" i="1" s="1"/>
  <c r="C2" i="2"/>
  <c r="D77" i="1" s="1"/>
  <c r="B2" i="2"/>
  <c r="D76" i="1" s="1"/>
  <c r="D110" i="1" l="1"/>
  <c r="D83" i="1"/>
  <c r="D82" i="1"/>
  <c r="D81" i="1"/>
  <c r="D85" i="1" l="1"/>
  <c r="D84" i="1"/>
  <c r="CH96" i="1" l="1"/>
  <c r="CP96" i="1"/>
  <c r="CP97" i="1"/>
  <c r="CP100" i="1"/>
  <c r="CO100" i="1"/>
  <c r="CH97" i="1"/>
  <c r="CG100" i="1"/>
  <c r="CH100" i="1"/>
  <c r="BJ96" i="1"/>
  <c r="BZ96" i="1"/>
  <c r="BR96" i="1"/>
  <c r="D80" i="1"/>
  <c r="BZ97" i="1"/>
  <c r="BR97" i="1"/>
  <c r="BZ100" i="1"/>
  <c r="BR100" i="1"/>
  <c r="BY100" i="1"/>
  <c r="BQ100" i="1"/>
  <c r="BJ97" i="1"/>
  <c r="BB100" i="1"/>
  <c r="BJ100" i="1"/>
  <c r="BI100" i="1"/>
  <c r="BA100" i="1"/>
  <c r="BB96" i="1"/>
  <c r="BB97" i="1"/>
  <c r="AL96" i="1"/>
  <c r="V96" i="1"/>
  <c r="F96" i="1"/>
  <c r="AT96" i="1"/>
  <c r="AD96" i="1"/>
  <c r="N96" i="1"/>
  <c r="AK100" i="1"/>
  <c r="V97" i="1"/>
  <c r="AT97" i="1"/>
  <c r="AD97" i="1"/>
  <c r="N97" i="1"/>
  <c r="D86" i="1"/>
  <c r="U100" i="1"/>
  <c r="F97" i="1"/>
  <c r="AL97" i="1"/>
  <c r="V100" i="1"/>
  <c r="AS100" i="1"/>
  <c r="AD100" i="1"/>
  <c r="M100" i="1"/>
  <c r="AL100" i="1"/>
  <c r="AT100" i="1"/>
  <c r="E100" i="1"/>
  <c r="E101" i="1" s="1"/>
  <c r="N100" i="1"/>
  <c r="AC100" i="1"/>
  <c r="F100" i="1"/>
  <c r="F101" i="1" s="1"/>
  <c r="D91" i="1"/>
  <c r="D87" i="1"/>
  <c r="D89" i="1"/>
  <c r="D88" i="1"/>
  <c r="D90" i="1"/>
  <c r="BV99" i="1" l="1"/>
  <c r="BV101" i="1" s="1"/>
  <c r="CI99" i="1"/>
  <c r="CI101" i="1" s="1"/>
  <c r="CA99" i="1"/>
  <c r="CA101" i="1" s="1"/>
  <c r="CL99" i="1"/>
  <c r="CL101" i="1" s="1"/>
  <c r="CK99" i="1"/>
  <c r="CK101" i="1" s="1"/>
  <c r="CP98" i="1"/>
  <c r="CO99" i="1"/>
  <c r="CO101" i="1" s="1"/>
  <c r="CJ99" i="1"/>
  <c r="CJ101" i="1" s="1"/>
  <c r="CN99" i="1"/>
  <c r="CN101" i="1" s="1"/>
  <c r="CP99" i="1"/>
  <c r="CP101" i="1" s="1"/>
  <c r="CM99" i="1"/>
  <c r="CM101" i="1" s="1"/>
  <c r="CG99" i="1"/>
  <c r="CG101" i="1" s="1"/>
  <c r="BK99" i="1"/>
  <c r="BK101" i="1" s="1"/>
  <c r="CB99" i="1"/>
  <c r="CB101" i="1" s="1"/>
  <c r="CH99" i="1"/>
  <c r="CH101" i="1" s="1"/>
  <c r="BS99" i="1"/>
  <c r="BS101" i="1" s="1"/>
  <c r="CE99" i="1"/>
  <c r="CE101" i="1" s="1"/>
  <c r="CC99" i="1"/>
  <c r="CC101" i="1" s="1"/>
  <c r="CD99" i="1"/>
  <c r="CD101" i="1" s="1"/>
  <c r="BX99" i="1"/>
  <c r="BX101" i="1" s="1"/>
  <c r="BU99" i="1"/>
  <c r="BU101" i="1" s="1"/>
  <c r="CF99" i="1"/>
  <c r="CF101" i="1" s="1"/>
  <c r="CH98" i="1"/>
  <c r="BW99" i="1"/>
  <c r="BW101" i="1" s="1"/>
  <c r="BR98" i="1"/>
  <c r="BY99" i="1"/>
  <c r="BY101" i="1" s="1"/>
  <c r="BT99" i="1"/>
  <c r="BT101" i="1" s="1"/>
  <c r="BZ99" i="1"/>
  <c r="BZ101" i="1" s="1"/>
  <c r="BZ98" i="1"/>
  <c r="BC99" i="1"/>
  <c r="BC101" i="1" s="1"/>
  <c r="G99" i="1"/>
  <c r="G101" i="1" s="1"/>
  <c r="AY99" i="1"/>
  <c r="AY101" i="1" s="1"/>
  <c r="BA99" i="1"/>
  <c r="BA101" i="1" s="1"/>
  <c r="BG99" i="1"/>
  <c r="BG101" i="1" s="1"/>
  <c r="BJ98" i="1"/>
  <c r="BF99" i="1"/>
  <c r="BF101" i="1" s="1"/>
  <c r="BO99" i="1"/>
  <c r="BO101" i="1" s="1"/>
  <c r="BQ99" i="1"/>
  <c r="BQ101" i="1" s="1"/>
  <c r="BR99" i="1"/>
  <c r="BR101" i="1" s="1"/>
  <c r="BD99" i="1"/>
  <c r="BD101" i="1" s="1"/>
  <c r="BE99" i="1"/>
  <c r="BE101" i="1" s="1"/>
  <c r="BN99" i="1"/>
  <c r="BN101" i="1" s="1"/>
  <c r="BM99" i="1"/>
  <c r="BM101" i="1" s="1"/>
  <c r="BB99" i="1"/>
  <c r="BB101" i="1" s="1"/>
  <c r="BJ99" i="1"/>
  <c r="BJ101" i="1" s="1"/>
  <c r="BI99" i="1"/>
  <c r="BI101" i="1" s="1"/>
  <c r="BH99" i="1"/>
  <c r="BH101" i="1" s="1"/>
  <c r="BL99" i="1"/>
  <c r="BL101" i="1" s="1"/>
  <c r="BP99" i="1"/>
  <c r="BP101" i="1" s="1"/>
  <c r="AB99" i="1"/>
  <c r="AB101" i="1" s="1"/>
  <c r="F98" i="1"/>
  <c r="W99" i="1"/>
  <c r="W101" i="1" s="1"/>
  <c r="AD98" i="1"/>
  <c r="BB98" i="1"/>
  <c r="D106" i="1"/>
  <c r="D107" i="1"/>
  <c r="V98" i="1"/>
  <c r="N98" i="1"/>
  <c r="U99" i="1"/>
  <c r="U101" i="1" s="1"/>
  <c r="AH99" i="1"/>
  <c r="AH101" i="1" s="1"/>
  <c r="R99" i="1"/>
  <c r="R101" i="1" s="1"/>
  <c r="AL98" i="1"/>
  <c r="H99" i="1"/>
  <c r="H101" i="1" s="1"/>
  <c r="K99" i="1"/>
  <c r="K101" i="1" s="1"/>
  <c r="T99" i="1"/>
  <c r="T101" i="1" s="1"/>
  <c r="AF99" i="1"/>
  <c r="AF101" i="1" s="1"/>
  <c r="AA99" i="1"/>
  <c r="AA101" i="1" s="1"/>
  <c r="I99" i="1"/>
  <c r="I101" i="1" s="1"/>
  <c r="AM99" i="1"/>
  <c r="AM101" i="1" s="1"/>
  <c r="AZ99" i="1"/>
  <c r="AZ101" i="1" s="1"/>
  <c r="S99" i="1"/>
  <c r="S101" i="1" s="1"/>
  <c r="AT98" i="1"/>
  <c r="AL99" i="1"/>
  <c r="AL101" i="1" s="1"/>
  <c r="AC99" i="1"/>
  <c r="AC101" i="1" s="1"/>
  <c r="AJ99" i="1"/>
  <c r="AJ101" i="1" s="1"/>
  <c r="AN99" i="1"/>
  <c r="AN101" i="1" s="1"/>
  <c r="AP99" i="1"/>
  <c r="AP101" i="1" s="1"/>
  <c r="V99" i="1"/>
  <c r="V101" i="1" s="1"/>
  <c r="AX99" i="1"/>
  <c r="AX101" i="1" s="1"/>
  <c r="AO99" i="1"/>
  <c r="AO101" i="1" s="1"/>
  <c r="P99" i="1"/>
  <c r="P101" i="1" s="1"/>
  <c r="M99" i="1"/>
  <c r="M101" i="1" s="1"/>
  <c r="J99" i="1"/>
  <c r="J101" i="1" s="1"/>
  <c r="AV99" i="1"/>
  <c r="AV101" i="1" s="1"/>
  <c r="Q99" i="1"/>
  <c r="Q101" i="1" s="1"/>
  <c r="L99" i="1"/>
  <c r="L101" i="1" s="1"/>
  <c r="AR99" i="1"/>
  <c r="AR101" i="1" s="1"/>
  <c r="N99" i="1"/>
  <c r="N101" i="1" s="1"/>
  <c r="O99" i="1"/>
  <c r="O101" i="1" s="1"/>
  <c r="AD99" i="1"/>
  <c r="AD101" i="1" s="1"/>
  <c r="AK99" i="1"/>
  <c r="AK101" i="1" s="1"/>
  <c r="AU99" i="1"/>
  <c r="AU101" i="1" s="1"/>
  <c r="AS99" i="1"/>
  <c r="AS101" i="1" s="1"/>
  <c r="Z99" i="1"/>
  <c r="Z101" i="1" s="1"/>
  <c r="AW99" i="1"/>
  <c r="AW101" i="1" s="1"/>
  <c r="AE99" i="1"/>
  <c r="AE101" i="1" s="1"/>
  <c r="Y99" i="1"/>
  <c r="Y101" i="1" s="1"/>
  <c r="AQ99" i="1"/>
  <c r="AQ101" i="1" s="1"/>
  <c r="AG99" i="1"/>
  <c r="AG101" i="1" s="1"/>
  <c r="AT99" i="1"/>
  <c r="AT101" i="1" s="1"/>
  <c r="AI99" i="1"/>
  <c r="AI101" i="1" s="1"/>
  <c r="X99" i="1"/>
  <c r="X101" i="1" s="1"/>
  <c r="D29" i="1"/>
  <c r="AR102" i="1" l="1"/>
  <c r="AB102" i="1"/>
  <c r="CN102" i="1"/>
  <c r="D105" i="1" s="1"/>
  <c r="AJ102" i="1"/>
  <c r="D108" i="1"/>
  <c r="CF103" i="1"/>
  <c r="D109" i="1"/>
  <c r="BB21" i="1"/>
  <c r="CG21" i="1"/>
  <c r="BZ21" i="1"/>
  <c r="BI21" i="1"/>
  <c r="BJ18" i="1"/>
  <c r="BA21" i="1"/>
  <c r="BY21" i="1"/>
  <c r="BZ18" i="1"/>
  <c r="CH21" i="1"/>
  <c r="BR21" i="1"/>
  <c r="BR18" i="1"/>
  <c r="CH18" i="1"/>
  <c r="BQ21" i="1"/>
  <c r="BJ21" i="1"/>
  <c r="BB18" i="1"/>
  <c r="CF102" i="1"/>
  <c r="BX102" i="1"/>
  <c r="E21" i="1"/>
  <c r="E22" i="1" s="1"/>
  <c r="D10" i="1"/>
  <c r="BH102" i="1"/>
  <c r="BP102" i="1"/>
  <c r="T102" i="1"/>
  <c r="AZ102" i="1"/>
  <c r="L102" i="1"/>
  <c r="D8" i="1"/>
  <c r="F18" i="1"/>
  <c r="F21" i="1"/>
  <c r="F22" i="1" s="1"/>
  <c r="D13" i="1"/>
  <c r="AL21" i="1"/>
  <c r="V21" i="1"/>
  <c r="AD21" i="1"/>
  <c r="AS21" i="1"/>
  <c r="M21" i="1"/>
  <c r="AK21" i="1"/>
  <c r="U21" i="1"/>
  <c r="D21" i="1"/>
  <c r="D22" i="1" s="1"/>
  <c r="AT21" i="1"/>
  <c r="N21" i="1"/>
  <c r="AC21" i="1"/>
  <c r="N18" i="1"/>
  <c r="V18" i="1"/>
  <c r="AD18" i="1"/>
  <c r="AL18" i="1"/>
  <c r="AT18" i="1"/>
  <c r="D14" i="1"/>
  <c r="D104" i="1" l="1"/>
  <c r="BJ19" i="1"/>
  <c r="BK20" i="1" s="1"/>
  <c r="BL20" i="1" s="1"/>
  <c r="CH19" i="1"/>
  <c r="BZ19" i="1"/>
  <c r="CA20" i="1" s="1"/>
  <c r="CB20" i="1" s="1"/>
  <c r="BB19" i="1"/>
  <c r="BC20" i="1" s="1"/>
  <c r="BR19" i="1"/>
  <c r="BS20" i="1" s="1"/>
  <c r="D26" i="1"/>
  <c r="F19" i="1"/>
  <c r="G20" i="1" s="1"/>
  <c r="AT19" i="1"/>
  <c r="AU20" i="1" s="1"/>
  <c r="AU22" i="1" s="1"/>
  <c r="AD19" i="1"/>
  <c r="AE20" i="1" s="1"/>
  <c r="V19" i="1"/>
  <c r="W20" i="1" s="1"/>
  <c r="AL19" i="1"/>
  <c r="AM20" i="1" s="1"/>
  <c r="N19" i="1"/>
  <c r="O20" i="1" s="1"/>
  <c r="BK22" i="1" l="1"/>
  <c r="CA22" i="1"/>
  <c r="CB22" i="1"/>
  <c r="CC20" i="1"/>
  <c r="BS22" i="1"/>
  <c r="BT20" i="1"/>
  <c r="D27" i="1"/>
  <c r="D28" i="1" s="1"/>
  <c r="BM20" i="1"/>
  <c r="BL22" i="1"/>
  <c r="BD20" i="1"/>
  <c r="BC22" i="1"/>
  <c r="H20" i="1"/>
  <c r="G22" i="1"/>
  <c r="AV20" i="1"/>
  <c r="AW20" i="1" s="1"/>
  <c r="AF20" i="1"/>
  <c r="AE22" i="1"/>
  <c r="P20" i="1"/>
  <c r="O22" i="1"/>
  <c r="AN20" i="1"/>
  <c r="AM22" i="1"/>
  <c r="X20" i="1"/>
  <c r="W22" i="1"/>
  <c r="CD20" i="1" l="1"/>
  <c r="CC22" i="1"/>
  <c r="BT22" i="1"/>
  <c r="BU20" i="1"/>
  <c r="BN20" i="1"/>
  <c r="BM22" i="1"/>
  <c r="BE20" i="1"/>
  <c r="BD22" i="1"/>
  <c r="AV22" i="1"/>
  <c r="H22" i="1"/>
  <c r="I20" i="1"/>
  <c r="Y20" i="1"/>
  <c r="X22" i="1"/>
  <c r="Q20" i="1"/>
  <c r="P22" i="1"/>
  <c r="AX20" i="1"/>
  <c r="AW22" i="1"/>
  <c r="AO20" i="1"/>
  <c r="AN22" i="1"/>
  <c r="AG20" i="1"/>
  <c r="AF22" i="1"/>
  <c r="BU22" i="1" l="1"/>
  <c r="BV20" i="1"/>
  <c r="BF20" i="1"/>
  <c r="BE22" i="1"/>
  <c r="BO20" i="1"/>
  <c r="BN22" i="1"/>
  <c r="CE20" i="1"/>
  <c r="CD22" i="1"/>
  <c r="J20" i="1"/>
  <c r="I22" i="1"/>
  <c r="AH20" i="1"/>
  <c r="AG22" i="1"/>
  <c r="AY20" i="1"/>
  <c r="AZ20" i="1" s="1"/>
  <c r="BA20" i="1" s="1"/>
  <c r="AX22" i="1"/>
  <c r="Z20" i="1"/>
  <c r="Y22" i="1"/>
  <c r="AP20" i="1"/>
  <c r="AO22" i="1"/>
  <c r="R20" i="1"/>
  <c r="Q22" i="1"/>
  <c r="CF20" i="1" l="1"/>
  <c r="CE22" i="1"/>
  <c r="BG20" i="1"/>
  <c r="BF22" i="1"/>
  <c r="BV22" i="1"/>
  <c r="BW20" i="1"/>
  <c r="BA22" i="1"/>
  <c r="BB20" i="1"/>
  <c r="BB22" i="1" s="1"/>
  <c r="BP20" i="1"/>
  <c r="BO22" i="1"/>
  <c r="K20" i="1"/>
  <c r="J22" i="1"/>
  <c r="S20" i="1"/>
  <c r="R22" i="1"/>
  <c r="AA20" i="1"/>
  <c r="Z22" i="1"/>
  <c r="AI20" i="1"/>
  <c r="AH22" i="1"/>
  <c r="AQ20" i="1"/>
  <c r="AP22" i="1"/>
  <c r="AY22" i="1"/>
  <c r="BH20" i="1" l="1"/>
  <c r="BG22" i="1"/>
  <c r="BW22" i="1"/>
  <c r="BX20" i="1"/>
  <c r="BQ20" i="1"/>
  <c r="BP22" i="1"/>
  <c r="CG20" i="1"/>
  <c r="CF22" i="1"/>
  <c r="AZ22" i="1"/>
  <c r="L20" i="1"/>
  <c r="K22" i="1"/>
  <c r="AJ20" i="1"/>
  <c r="AI22" i="1"/>
  <c r="T20" i="1"/>
  <c r="S22" i="1"/>
  <c r="AR20" i="1"/>
  <c r="AQ22" i="1"/>
  <c r="AB20" i="1"/>
  <c r="AA22" i="1"/>
  <c r="CH20" i="1" l="1"/>
  <c r="CH22" i="1" s="1"/>
  <c r="CG22" i="1"/>
  <c r="BR20" i="1"/>
  <c r="BR22" i="1" s="1"/>
  <c r="BQ22" i="1"/>
  <c r="BY20" i="1"/>
  <c r="BX22" i="1"/>
  <c r="BI20" i="1"/>
  <c r="BH22" i="1"/>
  <c r="BH23" i="1" s="1"/>
  <c r="BH112" i="1" s="1"/>
  <c r="L22" i="1"/>
  <c r="L23" i="1" s="1"/>
  <c r="L112" i="1" s="1"/>
  <c r="M20" i="1"/>
  <c r="M22" i="1" s="1"/>
  <c r="AC20" i="1"/>
  <c r="AB22" i="1"/>
  <c r="T22" i="1"/>
  <c r="U20" i="1"/>
  <c r="AS20" i="1"/>
  <c r="AS22" i="1" s="1"/>
  <c r="AR22" i="1"/>
  <c r="AJ22" i="1"/>
  <c r="AK20" i="1"/>
  <c r="BI22" i="1" l="1"/>
  <c r="BJ20" i="1"/>
  <c r="BJ22" i="1" s="1"/>
  <c r="BZ20" i="1"/>
  <c r="BZ22" i="1" s="1"/>
  <c r="CF25" i="1" s="1"/>
  <c r="BY22" i="1"/>
  <c r="CF23" i="1" s="1"/>
  <c r="CF112" i="1" s="1"/>
  <c r="BX23" i="1"/>
  <c r="N20" i="1"/>
  <c r="V20" i="1"/>
  <c r="V22" i="1" s="1"/>
  <c r="U22" i="1"/>
  <c r="AL20" i="1"/>
  <c r="AL22" i="1" s="1"/>
  <c r="AK22" i="1"/>
  <c r="AT20" i="1"/>
  <c r="AT22" i="1" s="1"/>
  <c r="D24" i="1" s="1"/>
  <c r="AD20" i="1"/>
  <c r="AD22" i="1" s="1"/>
  <c r="AC22" i="1"/>
  <c r="D25" i="1" l="1"/>
  <c r="BX112" i="1"/>
  <c r="BP23" i="1"/>
  <c r="BP112" i="1" s="1"/>
  <c r="N22" i="1"/>
  <c r="T23" i="1" s="1"/>
  <c r="T112" i="1" s="1"/>
  <c r="AJ23" i="1"/>
  <c r="AJ112" i="1" s="1"/>
  <c r="AR23" i="1"/>
  <c r="AR112" i="1" s="1"/>
  <c r="AZ23" i="1"/>
  <c r="AZ112" i="1" s="1"/>
  <c r="AB23" i="1"/>
  <c r="AB112" i="1" s="1"/>
</calcChain>
</file>

<file path=xl/sharedStrings.xml><?xml version="1.0" encoding="utf-8"?>
<sst xmlns="http://schemas.openxmlformats.org/spreadsheetml/2006/main" count="125" uniqueCount="79">
  <si>
    <t>AUC SS Calculation (cmin+cmax)*(T'/2)*(24/Tau) + ((cmaxss-Cminss)/K)*(24/tau)</t>
  </si>
  <si>
    <t>K (1/hours)</t>
  </si>
  <si>
    <t>(1-exp(-KT'))</t>
  </si>
  <si>
    <t>(1-exp(-KTau)) Accumulation Factor</t>
  </si>
  <si>
    <t>Marshall Pierce Pharm.D.</t>
  </si>
  <si>
    <t>Https://Pkineticdrugdosing.com</t>
  </si>
  <si>
    <t>Input Dose (mg)</t>
  </si>
  <si>
    <t>Time into Infusion (hours)</t>
  </si>
  <si>
    <t>Absolute Time from start of dosing</t>
  </si>
  <si>
    <t>Dosage Interval Tau (hours)</t>
  </si>
  <si>
    <t xml:space="preserve"> Infusion Period T' (Hours)</t>
  </si>
  <si>
    <t>Half-life (hours)</t>
  </si>
  <si>
    <t>T' = Infusion Period (hours)</t>
  </si>
  <si>
    <t>Tau = Dosage Interval (hours)</t>
  </si>
  <si>
    <t>S = fraction of dose that is  active ingredient, 0-1</t>
  </si>
  <si>
    <t>F = fraction of dose absorbed by route, 0-1</t>
  </si>
  <si>
    <t>Time = time post dose of level (hours)</t>
  </si>
  <si>
    <t xml:space="preserve">Levels Due to 2 hour Infusion C=S*F*D*(1-KT')/(Cl*T') </t>
  </si>
  <si>
    <r>
      <t>(1-exp(-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KTau) Fraction of Steady State Achieved. Used to calculate peak at time of each dose.</t>
    </r>
  </si>
  <si>
    <t>AUC (mg*hour)/liter for each Dosage Interval by suming levels during dosage interval</t>
  </si>
  <si>
    <t>Cpmaxxss=S*F*D*(1-exp(-KT')) / (ClT'*(1-exp(-KTau)))</t>
  </si>
  <si>
    <t>Cpminss = Cpmaxss *exp(-K(Tau-T'))</t>
  </si>
  <si>
    <t>AUC SS Calculation (mg*hour/liter per day) = (Cminss+Cmaxss)*(T'/2)*(24/Tau) + ((cmaxss-Cminss)/K)*(24/Tau)</t>
  </si>
  <si>
    <t>AUC Calculations One Compartment Model Learning Example</t>
  </si>
  <si>
    <r>
      <t xml:space="preserve">Dose Number </t>
    </r>
    <r>
      <rPr>
        <b/>
        <sz val="11"/>
        <color theme="1"/>
        <rFont val="Calibri"/>
        <family val="2"/>
        <scheme val="minor"/>
      </rPr>
      <t>N</t>
    </r>
  </si>
  <si>
    <t>N = dose number</t>
  </si>
  <si>
    <t xml:space="preserve">AUC (mg*hour/liter per day) = (Dose (mg) /CL (L/hr))*(24/Tau) </t>
  </si>
  <si>
    <t>(1-exp(-alpha*Tau)) Accumulation Factor</t>
  </si>
  <si>
    <t>(1-exp(-alpha*T'))</t>
  </si>
  <si>
    <t>(1-exp(-beta*Tau) Accumulation Factor</t>
  </si>
  <si>
    <t>(1-exp(-beta*T')</t>
  </si>
  <si>
    <t>Vc</t>
  </si>
  <si>
    <t>Vcentral (L)</t>
  </si>
  <si>
    <t>Vperiperal (L)</t>
  </si>
  <si>
    <t>Clearanance (L/hr)</t>
  </si>
  <si>
    <t>Q(L/hr) Interdepartmental Clearance</t>
  </si>
  <si>
    <t>K12</t>
  </si>
  <si>
    <t>K21</t>
  </si>
  <si>
    <t>(1-exp(-N*alpha*Tau) fraction of steay state achieved</t>
  </si>
  <si>
    <t>Goti</t>
  </si>
  <si>
    <t>Carreno</t>
  </si>
  <si>
    <t>Vp</t>
  </si>
  <si>
    <t>Q</t>
  </si>
  <si>
    <t>Cl</t>
  </si>
  <si>
    <t>Model</t>
  </si>
  <si>
    <t>K10</t>
  </si>
  <si>
    <t>alpha</t>
  </si>
  <si>
    <t>beta</t>
  </si>
  <si>
    <t>Infusion Period</t>
  </si>
  <si>
    <r>
      <t>(1-exp(-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betaTau) Fraction of Steady State Achieved. Used to calculate peak at time of each dose.</t>
    </r>
  </si>
  <si>
    <r>
      <t>(1-exp(-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alphaTau) Fraction of Steady State Achieved. Used to calculate peak at time of each dose.</t>
    </r>
  </si>
  <si>
    <t>Dose (mg)</t>
  </si>
  <si>
    <t>beta-alpha</t>
  </si>
  <si>
    <t>Cp(mg/l) = Cmax from prior dose*exp(-K(Time))</t>
  </si>
  <si>
    <t xml:space="preserve">Cpmaxxss(mg/l) = </t>
  </si>
  <si>
    <t xml:space="preserve">C(mg/l) </t>
  </si>
  <si>
    <t>Absolute Time for start of dosing</t>
  </si>
  <si>
    <t xml:space="preserve"> </t>
  </si>
  <si>
    <r>
      <rPr>
        <b/>
        <sz val="11"/>
        <color theme="1"/>
        <rFont val="Calibri"/>
        <family val="2"/>
        <scheme val="minor"/>
      </rPr>
      <t>Cp Total</t>
    </r>
    <r>
      <rPr>
        <sz val="11"/>
        <color theme="1"/>
        <rFont val="Calibri"/>
        <family val="2"/>
        <scheme val="minor"/>
      </rPr>
      <t>, Using Method of Superposition ( Sum Level from Infusion + Trough from prior dose)</t>
    </r>
  </si>
  <si>
    <t>Time Post Dose (hours) of Prior Dose</t>
  </si>
  <si>
    <t>Time to Steady State</t>
  </si>
  <si>
    <t>Time to Steady State (hours) 5 beta T1/2's</t>
  </si>
  <si>
    <t>Input Cl (L/Hr) (set equal to 2 compartment model clearance)</t>
  </si>
  <si>
    <t>AUCss From Interval Following Tenth Dose (Sum serum levels to calculated Area under Curve)</t>
  </si>
  <si>
    <t>Levels Due to 2 hour Infusion C=S*F*D*(1-KT')/(Cl*T') at start of each dose</t>
  </si>
  <si>
    <t>Cp Total, Using Method of Superposition ( Sum Level from Infusion + remaining level from prior dose)</t>
  </si>
  <si>
    <t>AUC (mg*hour)/liter for each dosage Interval by suming levels during dosage interval</t>
  </si>
  <si>
    <t>AUCss From Interval Followwing 1000 Doses (Sum serum level to calculate Area under Curve)</t>
  </si>
  <si>
    <t>Input Weight (kg)</t>
  </si>
  <si>
    <t>Input Creatinine Clearnace (ml/min)</t>
  </si>
  <si>
    <t>Vd one compartment model</t>
  </si>
  <si>
    <t>Select Vd (L/kg) for 1 compartment Model</t>
  </si>
  <si>
    <t>Vd (L) of total body weight)</t>
  </si>
  <si>
    <t>AUC Calculations Two Compartment Model Learning Example</t>
  </si>
  <si>
    <r>
      <t>Cpmaxxss(mg/l) = S*F*D*(1-exp(-KT'))*(1-exp(-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KTau)) / (Cl*T'*(1-exp(-Ktau))).</t>
    </r>
  </si>
  <si>
    <t>Select Two Compartmental Model</t>
  </si>
  <si>
    <t>AUC SS Calculation (mg*hour/liter per day) =                                                                            (Cminss+Cmaxss)*(T'/2)*(24/Tau) + ((cmaxss-Cminss)/(ln(Cmaxss/Cminss)/(Tau-T')))*(24/Tau)</t>
  </si>
  <si>
    <t>AUC ss Calculation (mg*hour/liter per day) =                                                                                                                               (Ass*(1-exp(-alpha*(Tau-T')))/alpha + Bss*(1-exp(-beta*(Tau-T')))/beta)*24/Tau + ((Cmax+Cmin)*Infusion Period/2)*(24/Tau)</t>
  </si>
  <si>
    <t>Percent Error In AUC Calculation =1- (1 compart AUC/Two Compartment AUC 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</si>
</sst>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1"/>
    <xf numFmtId="0" fontId="0" fillId="0" borderId="0" xfId="0" applyProtection="1"/>
    <xf numFmtId="0" fontId="0" fillId="2" borderId="0" xfId="0" applyFill="1"/>
    <xf numFmtId="0" fontId="0" fillId="2" borderId="0" xfId="0" applyFill="1" applyProtection="1">
      <protection locked="0"/>
    </xf>
    <xf numFmtId="0" fontId="0" fillId="0" borderId="0" xfId="0" applyFill="1"/>
    <xf numFmtId="0" fontId="0" fillId="0" borderId="0" xfId="0" applyFill="1" applyProtection="1"/>
    <xf numFmtId="164" fontId="1" fillId="0" borderId="0" xfId="0" applyNumberFormat="1" applyFont="1"/>
    <xf numFmtId="0" fontId="0" fillId="0" borderId="0" xfId="0" applyFill="1" applyProtection="1"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Serum Levels Vrs Time 1 Compartment Model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Sheet1!$D$17:$CF$17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Sheet1!$D$22:$CF$22</c:f>
              <c:numCache>
                <c:formatCode>General</c:formatCode>
                <c:ptCount val="81"/>
                <c:pt idx="0">
                  <c:v>0</c:v>
                </c:pt>
                <c:pt idx="1">
                  <c:v>10.501818243067301</c:v>
                </c:pt>
                <c:pt idx="2">
                  <c:v>20.086418842969465</c:v>
                </c:pt>
                <c:pt idx="3">
                  <c:v>18.332092370699904</c:v>
                </c:pt>
                <c:pt idx="4">
                  <c:v>16.730986907877881</c:v>
                </c:pt>
                <c:pt idx="5">
                  <c:v>15.269720294393963</c:v>
                </c:pt>
                <c:pt idx="6">
                  <c:v>13.936079153779032</c:v>
                </c:pt>
                <c:pt idx="7">
                  <c:v>12.718916812883418</c:v>
                </c:pt>
                <c:pt idx="8">
                  <c:v>11.608060137142752</c:v>
                </c:pt>
                <c:pt idx="9">
                  <c:v>21.096042745819986</c:v>
                </c:pt>
                <c:pt idx="10">
                  <c:v>29.755355038052954</c:v>
                </c:pt>
                <c:pt idx="11">
                  <c:v>27.156553955434557</c:v>
                </c:pt>
                <c:pt idx="12">
                  <c:v>24.784729397155438</c:v>
                </c:pt>
                <c:pt idx="13">
                  <c:v>22.620057474828869</c:v>
                </c:pt>
                <c:pt idx="14">
                  <c:v>20.644445697409381</c:v>
                </c:pt>
                <c:pt idx="15">
                  <c:v>18.84138175278925</c:v>
                </c:pt>
                <c:pt idx="16">
                  <c:v>17.195795496649612</c:v>
                </c:pt>
                <c:pt idx="17">
                  <c:v>26.195751238125947</c:v>
                </c:pt>
                <c:pt idx="18">
                  <c:v>34.409660411024795</c:v>
                </c:pt>
                <c:pt idx="19">
                  <c:v>31.404357244104357</c:v>
                </c:pt>
                <c:pt idx="20">
                  <c:v>28.661534061502742</c:v>
                </c:pt>
                <c:pt idx="21">
                  <c:v>26.158266140374572</c:v>
                </c:pt>
                <c:pt idx="22">
                  <c:v>23.873630978801518</c:v>
                </c:pt>
                <c:pt idx="23">
                  <c:v>21.788533423944674</c:v>
                </c:pt>
                <c:pt idx="24">
                  <c:v>19.885546073318196</c:v>
                </c:pt>
                <c:pt idx="25">
                  <c:v>28.650581858313405</c:v>
                </c:pt>
                <c:pt idx="26">
                  <c:v>36.650088734038206</c:v>
                </c:pt>
                <c:pt idx="27">
                  <c:v>33.449108938694742</c:v>
                </c:pt>
                <c:pt idx="28">
                  <c:v>30.527699316415578</c:v>
                </c:pt>
                <c:pt idx="29">
                  <c:v>27.861442505435139</c:v>
                </c:pt>
                <c:pt idx="30">
                  <c:v>25.428053730411701</c:v>
                </c:pt>
                <c:pt idx="31">
                  <c:v>23.207194544595822</c:v>
                </c:pt>
                <c:pt idx="32">
                  <c:v>21.180302839559797</c:v>
                </c:pt>
                <c:pt idx="33">
                  <c:v>29.83225594476399</c:v>
                </c:pt>
                <c:pt idx="34">
                  <c:v>37.728556661757281</c:v>
                </c:pt>
                <c:pt idx="35">
                  <c:v>34.433384623890035</c:v>
                </c:pt>
                <c:pt idx="36">
                  <c:v>31.426009409433959</c:v>
                </c:pt>
                <c:pt idx="37">
                  <c:v>28.681295149726136</c:v>
                </c:pt>
                <c:pt idx="38">
                  <c:v>26.176301316156223</c:v>
                </c:pt>
                <c:pt idx="39">
                  <c:v>23.89009098149965</c:v>
                </c:pt>
                <c:pt idx="40">
                  <c:v>21.803555827502176</c:v>
                </c:pt>
                <c:pt idx="41">
                  <c:v>30.401074679183317</c:v>
                </c:pt>
                <c:pt idx="42">
                  <c:v>38.247695372499109</c:v>
                </c:pt>
                <c:pt idx="43">
                  <c:v>34.907182311418403</c:v>
                </c:pt>
                <c:pt idx="44">
                  <c:v>31.858426110524217</c:v>
                </c:pt>
                <c:pt idx="45">
                  <c:v>29.075945035750721</c:v>
                </c:pt>
                <c:pt idx="46">
                  <c:v>26.536482900601332</c:v>
                </c:pt>
                <c:pt idx="47">
                  <c:v>24.218814689189529</c:v>
                </c:pt>
                <c:pt idx="48">
                  <c:v>22.103569155956645</c:v>
                </c:pt>
                <c:pt idx="49">
                  <c:v>30.674885162409076</c:v>
                </c:pt>
                <c:pt idx="50">
                  <c:v>38.497591539147933</c:v>
                </c:pt>
                <c:pt idx="51">
                  <c:v>35.135252812482037</c:v>
                </c:pt>
                <c:pt idx="52">
                  <c:v>32.06657717643678</c:v>
                </c:pt>
                <c:pt idx="53">
                  <c:v>29.265916408806316</c:v>
                </c:pt>
                <c:pt idx="54">
                  <c:v>26.709862375851237</c:v>
                </c:pt>
                <c:pt idx="55">
                  <c:v>24.377051385352878</c:v>
                </c:pt>
                <c:pt idx="56">
                  <c:v>22.247985627263883</c:v>
                </c:pt>
                <c:pt idx="57">
                  <c:v>30.80668845260988</c:v>
                </c:pt>
                <c:pt idx="58">
                  <c:v>38.617883270073818</c:v>
                </c:pt>
                <c:pt idx="59">
                  <c:v>35.245038391484684</c:v>
                </c:pt>
                <c:pt idx="60">
                  <c:v>32.166774199658356</c:v>
                </c:pt>
                <c:pt idx="61">
                  <c:v>29.357362330517244</c:v>
                </c:pt>
                <c:pt idx="62">
                  <c:v>26.79332150795608</c:v>
                </c:pt>
                <c:pt idx="63">
                  <c:v>24.453221285566819</c:v>
                </c:pt>
                <c:pt idx="64">
                  <c:v>22.317502929352688</c:v>
                </c:pt>
                <c:pt idx="65">
                  <c:v>30.870134187422877</c:v>
                </c:pt>
                <c:pt idx="66">
                  <c:v>38.675787721843527</c:v>
                </c:pt>
                <c:pt idx="67">
                  <c:v>35.297885529982366</c:v>
                </c:pt>
                <c:pt idx="68">
                  <c:v>32.215005725249881</c:v>
                </c:pt>
                <c:pt idx="69">
                  <c:v>29.401381365927985</c:v>
                </c:pt>
                <c:pt idx="70">
                  <c:v>26.833495967601049</c:v>
                </c:pt>
                <c:pt idx="71">
                  <c:v>24.489886950607072</c:v>
                </c:pt>
                <c:pt idx="72">
                  <c:v>22.350966254179568</c:v>
                </c:pt>
                <c:pt idx="73">
                  <c:v>30.900674861026914</c:v>
                </c:pt>
                <c:pt idx="74">
                  <c:v>38.703661005476093</c:v>
                </c:pt>
                <c:pt idx="75">
                  <c:v>35.323324390648445</c:v>
                </c:pt>
                <c:pt idx="76">
                  <c:v>32.238222782863865</c:v>
                </c:pt>
                <c:pt idx="77">
                  <c:v>29.422570670406934</c:v>
                </c:pt>
                <c:pt idx="78">
                  <c:v>26.852834620748517</c:v>
                </c:pt>
                <c:pt idx="79">
                  <c:v>24.507536586343331</c:v>
                </c:pt>
                <c:pt idx="80">
                  <c:v>22.367074389490089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0A-48E9-9220-CEF6F967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509640"/>
        <c:axId val="534516200"/>
      </c:scatterChart>
      <c:valAx>
        <c:axId val="534509640"/>
        <c:scaling>
          <c:orientation val="minMax"/>
          <c:max val="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516200"/>
        <c:crosses val="autoZero"/>
        <c:crossBetween val="midCat"/>
      </c:valAx>
      <c:valAx>
        <c:axId val="53451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Cp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509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AUC for</a:t>
            </a:r>
            <a:r>
              <a:rPr lang="en-US" baseline="0"/>
              <a:t> each Dosage Interval (mg*hour/liter) 1 Compartment Model</a:t>
            </a:r>
            <a:endParaRPr lang="en-US"/>
          </a:p>
        </c:rich>
      </c:tx>
      <c:layout>
        <c:manualLayout>
          <c:xMode val="edge"/>
          <c:yMode val="edge"/>
          <c:x val="0.2433580177477815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Sheet1!$D$17:$CF$17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Sheet1!$D$23:$CF$23</c:f>
              <c:numCache>
                <c:formatCode>0.0</c:formatCode>
                <c:ptCount val="81"/>
                <c:pt idx="8">
                  <c:v>119.18409276281372</c:v>
                </c:pt>
                <c:pt idx="16">
                  <c:v>182.09436155814006</c:v>
                </c:pt>
                <c:pt idx="24">
                  <c:v>212.37727957119677</c:v>
                </c:pt>
                <c:pt idx="32">
                  <c:v>226.9544724674644</c:v>
                </c:pt>
                <c:pt idx="40">
                  <c:v>233.97144991472945</c:v>
                </c:pt>
                <c:pt idx="48">
                  <c:v>237.34919025512326</c:v>
                </c:pt>
                <c:pt idx="56">
                  <c:v>238.9751224877501</c:v>
                </c:pt>
                <c:pt idx="64">
                  <c:v>239.75779236721957</c:v>
                </c:pt>
                <c:pt idx="72">
                  <c:v>240.13454370281431</c:v>
                </c:pt>
                <c:pt idx="80">
                  <c:v>240.31589930700417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7A-48D9-A1C1-88FA07277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181712"/>
        <c:axId val="599185320"/>
      </c:scatterChart>
      <c:valAx>
        <c:axId val="599181712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185320"/>
        <c:crosses val="autoZero"/>
        <c:crossBetween val="midCat"/>
      </c:valAx>
      <c:valAx>
        <c:axId val="59918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AUC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181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 Serum</a:t>
            </a:r>
            <a:r>
              <a:rPr lang="en-US" baseline="0"/>
              <a:t> Levels Vrs Time </a:t>
            </a:r>
            <a:r>
              <a:rPr lang="en-US"/>
              <a:t>Compartment</a:t>
            </a:r>
            <a:r>
              <a:rPr lang="en-US" baseline="0"/>
              <a:t> Model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Sheet1!$D$95:$BP$95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Sheet1!$D$101:$BO$101</c:f>
              <c:numCache>
                <c:formatCode>General</c:formatCode>
                <c:ptCount val="64"/>
                <c:pt idx="1">
                  <c:v>7.8493686747589955</c:v>
                </c:pt>
                <c:pt idx="2">
                  <c:v>14.51178087359791</c:v>
                </c:pt>
                <c:pt idx="3">
                  <c:v>12.422245803484431</c:v>
                </c:pt>
                <c:pt idx="4">
                  <c:v>10.826292645967493</c:v>
                </c:pt>
                <c:pt idx="5">
                  <c:v>9.5937438356196125</c:v>
                </c:pt>
                <c:pt idx="6">
                  <c:v>8.629338710852446</c:v>
                </c:pt>
                <c:pt idx="7">
                  <c:v>7.8633454512424272</c:v>
                </c:pt>
                <c:pt idx="8">
                  <c:v>7.2446980214192385</c:v>
                </c:pt>
                <c:pt idx="9">
                  <c:v>14.58534764023031</c:v>
                </c:pt>
                <c:pt idx="10">
                  <c:v>20.821532444586872</c:v>
                </c:pt>
                <c:pt idx="11">
                  <c:v>18.368124265641271</c:v>
                </c:pt>
                <c:pt idx="12">
                  <c:v>16.455853948698216</c:v>
                </c:pt>
                <c:pt idx="13">
                  <c:v>14.943651489151939</c:v>
                </c:pt>
                <c:pt idx="14">
                  <c:v>13.728221908742535</c:v>
                </c:pt>
                <c:pt idx="15">
                  <c:v>12.733891136444138</c:v>
                </c:pt>
                <c:pt idx="16">
                  <c:v>11.905182843171319</c:v>
                </c:pt>
                <c:pt idx="17">
                  <c:v>19.050760358397604</c:v>
                </c:pt>
                <c:pt idx="18">
                  <c:v>25.104396845967059</c:v>
                </c:pt>
                <c:pt idx="19">
                  <c:v>22.479103055815798</c:v>
                </c:pt>
                <c:pt idx="20">
                  <c:v>20.404192443821813</c:v>
                </c:pt>
                <c:pt idx="21">
                  <c:v>18.737504113140812</c:v>
                </c:pt>
                <c:pt idx="22">
                  <c:v>17.374892937145408</c:v>
                </c:pt>
                <c:pt idx="23">
                  <c:v>16.24001267444817</c:v>
                </c:pt>
                <c:pt idx="24">
                  <c:v>15.276846845108553</c:v>
                </c:pt>
                <c:pt idx="25">
                  <c:v>22.293616978203637</c:v>
                </c:pt>
                <c:pt idx="26">
                  <c:v>28.223728105224172</c:v>
                </c:pt>
                <c:pt idx="27">
                  <c:v>25.479878401463402</c:v>
                </c:pt>
                <c:pt idx="28">
                  <c:v>23.291111002419989</c:v>
                </c:pt>
                <c:pt idx="29">
                  <c:v>21.515027158072552</c:v>
                </c:pt>
                <c:pt idx="30">
                  <c:v>20.047269141662568</c:v>
                </c:pt>
                <c:pt idx="31">
                  <c:v>18.811298033669075</c:v>
                </c:pt>
                <c:pt idx="32">
                  <c:v>17.750920645731068</c:v>
                </c:pt>
                <c:pt idx="33">
                  <c:v>24.674194825926875</c:v>
                </c:pt>
                <c:pt idx="34">
                  <c:v>30.514372750213024</c:v>
                </c:pt>
                <c:pt idx="35">
                  <c:v>27.684008904986353</c:v>
                </c:pt>
                <c:pt idx="36">
                  <c:v>25.412010643557217</c:v>
                </c:pt>
                <c:pt idx="37">
                  <c:v>23.555850373882745</c:v>
                </c:pt>
                <c:pt idx="38">
                  <c:v>22.011047717000178</c:v>
                </c:pt>
                <c:pt idx="39">
                  <c:v>20.700946700346009</c:v>
                </c:pt>
                <c:pt idx="40">
                  <c:v>19.569242209353323</c:v>
                </c:pt>
                <c:pt idx="41">
                  <c:v>26.423884908438598</c:v>
                </c:pt>
                <c:pt idx="42">
                  <c:v>32.198024213974321</c:v>
                </c:pt>
                <c:pt idx="43">
                  <c:v>29.304116007922268</c:v>
                </c:pt>
                <c:pt idx="44">
                  <c:v>26.970972962954125</c:v>
                </c:pt>
                <c:pt idx="45">
                  <c:v>25.0559765276132</c:v>
                </c:pt>
                <c:pt idx="46">
                  <c:v>23.454558904478048</c:v>
                </c:pt>
                <c:pt idx="47">
                  <c:v>22.089980080729866</c:v>
                </c:pt>
                <c:pt idx="48">
                  <c:v>20.905854130972727</c:v>
                </c:pt>
                <c:pt idx="49">
                  <c:v>27.710054000783998</c:v>
                </c:pt>
                <c:pt idx="50">
                  <c:v>33.435654351622972</c:v>
                </c:pt>
                <c:pt idx="51">
                  <c:v>30.495039154293103</c:v>
                </c:pt>
                <c:pt idx="52">
                  <c:v>28.116951900663533</c:v>
                </c:pt>
                <c:pt idx="53">
                  <c:v>26.158707481346507</c:v>
                </c:pt>
                <c:pt idx="54">
                  <c:v>24.515674061628417</c:v>
                </c:pt>
                <c:pt idx="55">
                  <c:v>23.111050014536534</c:v>
                </c:pt>
                <c:pt idx="56">
                  <c:v>21.888390130477028</c:v>
                </c:pt>
                <c:pt idx="57">
                  <c:v>28.655510311586671</c:v>
                </c:pt>
                <c:pt idx="58">
                  <c:v>34.345430331150453</c:v>
                </c:pt>
                <c:pt idx="59">
                  <c:v>31.370481345048582</c:v>
                </c:pt>
                <c:pt idx="60">
                  <c:v>28.959356024740416</c:v>
                </c:pt>
                <c:pt idx="61">
                  <c:v>26.96932035930914</c:v>
                </c:pt>
                <c:pt idx="62">
                  <c:v>25.295695458711755</c:v>
                </c:pt>
                <c:pt idx="63">
                  <c:v>23.861634416979001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0A-49D7-8284-EFADB8FF9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576104"/>
        <c:axId val="589568232"/>
      </c:scatterChart>
      <c:valAx>
        <c:axId val="589576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568232"/>
        <c:crosses val="autoZero"/>
        <c:crossBetween val="midCat"/>
      </c:valAx>
      <c:valAx>
        <c:axId val="58956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576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AUC</a:t>
            </a:r>
            <a:r>
              <a:rPr lang="en-US" baseline="0"/>
              <a:t> For Each Dosage Interval (mg/hour/liter) </a:t>
            </a:r>
          </a:p>
          <a:p>
            <a:pPr>
              <a:defRPr/>
            </a:pPr>
            <a:r>
              <a:rPr lang="en-US" baseline="0"/>
              <a:t> 2 Compartment Model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Sheet1!$D$95:$AZ$95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xVal>
          <c:yVal>
            <c:numRef>
              <c:f>Sheet1!$D$102:$AZ$102</c:f>
              <c:numCache>
                <c:formatCode>General</c:formatCode>
                <c:ptCount val="49"/>
                <c:pt idx="8">
                  <c:v>78.940814016942554</c:v>
                </c:pt>
                <c:pt idx="16">
                  <c:v>123.5418056766666</c:v>
                </c:pt>
                <c:pt idx="24">
                  <c:v>154.66770927384525</c:v>
                </c:pt>
                <c:pt idx="32">
                  <c:v>177.41284946644646</c:v>
                </c:pt>
                <c:pt idx="40">
                  <c:v>194.12167412526571</c:v>
                </c:pt>
                <c:pt idx="48">
                  <c:v>206.40336773708313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C8-4627-833B-DB4612C96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287648"/>
        <c:axId val="725287976"/>
      </c:scatterChart>
      <c:valAx>
        <c:axId val="725287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287976"/>
        <c:crosses val="autoZero"/>
        <c:crossBetween val="midCat"/>
      </c:valAx>
      <c:valAx>
        <c:axId val="72528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287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Serum Levels Vrs Time</a:t>
            </a:r>
            <a:r>
              <a:rPr lang="en-US" baseline="0"/>
              <a:t>                                                                                                                    One</a:t>
            </a:r>
            <a:r>
              <a:rPr lang="en-US"/>
              <a:t> Compartment</a:t>
            </a:r>
            <a:r>
              <a:rPr lang="en-US" baseline="0"/>
              <a:t> (Blue) Vrs Selected Two Compartment Model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Sheet1!$D$17:$CF$17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Sheet1!$D$22:$CF$22</c:f>
              <c:numCache>
                <c:formatCode>General</c:formatCode>
                <c:ptCount val="81"/>
                <c:pt idx="0">
                  <c:v>0</c:v>
                </c:pt>
                <c:pt idx="1">
                  <c:v>10.501818243067301</c:v>
                </c:pt>
                <c:pt idx="2">
                  <c:v>20.086418842969465</c:v>
                </c:pt>
                <c:pt idx="3">
                  <c:v>18.332092370699904</c:v>
                </c:pt>
                <c:pt idx="4">
                  <c:v>16.730986907877881</c:v>
                </c:pt>
                <c:pt idx="5">
                  <c:v>15.269720294393963</c:v>
                </c:pt>
                <c:pt idx="6">
                  <c:v>13.936079153779032</c:v>
                </c:pt>
                <c:pt idx="7">
                  <c:v>12.718916812883418</c:v>
                </c:pt>
                <c:pt idx="8">
                  <c:v>11.608060137142752</c:v>
                </c:pt>
                <c:pt idx="9">
                  <c:v>21.096042745819986</c:v>
                </c:pt>
                <c:pt idx="10">
                  <c:v>29.755355038052954</c:v>
                </c:pt>
                <c:pt idx="11">
                  <c:v>27.156553955434557</c:v>
                </c:pt>
                <c:pt idx="12">
                  <c:v>24.784729397155438</c:v>
                </c:pt>
                <c:pt idx="13">
                  <c:v>22.620057474828869</c:v>
                </c:pt>
                <c:pt idx="14">
                  <c:v>20.644445697409381</c:v>
                </c:pt>
                <c:pt idx="15">
                  <c:v>18.84138175278925</c:v>
                </c:pt>
                <c:pt idx="16">
                  <c:v>17.195795496649612</c:v>
                </c:pt>
                <c:pt idx="17">
                  <c:v>26.195751238125947</c:v>
                </c:pt>
                <c:pt idx="18">
                  <c:v>34.409660411024795</c:v>
                </c:pt>
                <c:pt idx="19">
                  <c:v>31.404357244104357</c:v>
                </c:pt>
                <c:pt idx="20">
                  <c:v>28.661534061502742</c:v>
                </c:pt>
                <c:pt idx="21">
                  <c:v>26.158266140374572</c:v>
                </c:pt>
                <c:pt idx="22">
                  <c:v>23.873630978801518</c:v>
                </c:pt>
                <c:pt idx="23">
                  <c:v>21.788533423944674</c:v>
                </c:pt>
                <c:pt idx="24">
                  <c:v>19.885546073318196</c:v>
                </c:pt>
                <c:pt idx="25">
                  <c:v>28.650581858313405</c:v>
                </c:pt>
                <c:pt idx="26">
                  <c:v>36.650088734038206</c:v>
                </c:pt>
                <c:pt idx="27">
                  <c:v>33.449108938694742</c:v>
                </c:pt>
                <c:pt idx="28">
                  <c:v>30.527699316415578</c:v>
                </c:pt>
                <c:pt idx="29">
                  <c:v>27.861442505435139</c:v>
                </c:pt>
                <c:pt idx="30">
                  <c:v>25.428053730411701</c:v>
                </c:pt>
                <c:pt idx="31">
                  <c:v>23.207194544595822</c:v>
                </c:pt>
                <c:pt idx="32">
                  <c:v>21.180302839559797</c:v>
                </c:pt>
                <c:pt idx="33">
                  <c:v>29.83225594476399</c:v>
                </c:pt>
                <c:pt idx="34">
                  <c:v>37.728556661757281</c:v>
                </c:pt>
                <c:pt idx="35">
                  <c:v>34.433384623890035</c:v>
                </c:pt>
                <c:pt idx="36">
                  <c:v>31.426009409433959</c:v>
                </c:pt>
                <c:pt idx="37">
                  <c:v>28.681295149726136</c:v>
                </c:pt>
                <c:pt idx="38">
                  <c:v>26.176301316156223</c:v>
                </c:pt>
                <c:pt idx="39">
                  <c:v>23.89009098149965</c:v>
                </c:pt>
                <c:pt idx="40">
                  <c:v>21.803555827502176</c:v>
                </c:pt>
                <c:pt idx="41">
                  <c:v>30.401074679183317</c:v>
                </c:pt>
                <c:pt idx="42">
                  <c:v>38.247695372499109</c:v>
                </c:pt>
                <c:pt idx="43">
                  <c:v>34.907182311418403</c:v>
                </c:pt>
                <c:pt idx="44">
                  <c:v>31.858426110524217</c:v>
                </c:pt>
                <c:pt idx="45">
                  <c:v>29.075945035750721</c:v>
                </c:pt>
                <c:pt idx="46">
                  <c:v>26.536482900601332</c:v>
                </c:pt>
                <c:pt idx="47">
                  <c:v>24.218814689189529</c:v>
                </c:pt>
                <c:pt idx="48">
                  <c:v>22.103569155956645</c:v>
                </c:pt>
                <c:pt idx="49">
                  <c:v>30.674885162409076</c:v>
                </c:pt>
                <c:pt idx="50">
                  <c:v>38.497591539147933</c:v>
                </c:pt>
                <c:pt idx="51">
                  <c:v>35.135252812482037</c:v>
                </c:pt>
                <c:pt idx="52">
                  <c:v>32.06657717643678</c:v>
                </c:pt>
                <c:pt idx="53">
                  <c:v>29.265916408806316</c:v>
                </c:pt>
                <c:pt idx="54">
                  <c:v>26.709862375851237</c:v>
                </c:pt>
                <c:pt idx="55">
                  <c:v>24.377051385352878</c:v>
                </c:pt>
                <c:pt idx="56">
                  <c:v>22.247985627263883</c:v>
                </c:pt>
                <c:pt idx="57">
                  <c:v>30.80668845260988</c:v>
                </c:pt>
                <c:pt idx="58">
                  <c:v>38.617883270073818</c:v>
                </c:pt>
                <c:pt idx="59">
                  <c:v>35.245038391484684</c:v>
                </c:pt>
                <c:pt idx="60">
                  <c:v>32.166774199658356</c:v>
                </c:pt>
                <c:pt idx="61">
                  <c:v>29.357362330517244</c:v>
                </c:pt>
                <c:pt idx="62">
                  <c:v>26.79332150795608</c:v>
                </c:pt>
                <c:pt idx="63">
                  <c:v>24.453221285566819</c:v>
                </c:pt>
                <c:pt idx="64">
                  <c:v>22.317502929352688</c:v>
                </c:pt>
                <c:pt idx="65">
                  <c:v>30.870134187422877</c:v>
                </c:pt>
                <c:pt idx="66">
                  <c:v>38.675787721843527</c:v>
                </c:pt>
                <c:pt idx="67">
                  <c:v>35.297885529982366</c:v>
                </c:pt>
                <c:pt idx="68">
                  <c:v>32.215005725249881</c:v>
                </c:pt>
                <c:pt idx="69">
                  <c:v>29.401381365927985</c:v>
                </c:pt>
                <c:pt idx="70">
                  <c:v>26.833495967601049</c:v>
                </c:pt>
                <c:pt idx="71">
                  <c:v>24.489886950607072</c:v>
                </c:pt>
                <c:pt idx="72">
                  <c:v>22.350966254179568</c:v>
                </c:pt>
                <c:pt idx="73">
                  <c:v>30.900674861026914</c:v>
                </c:pt>
                <c:pt idx="74">
                  <c:v>38.703661005476093</c:v>
                </c:pt>
                <c:pt idx="75">
                  <c:v>35.323324390648445</c:v>
                </c:pt>
                <c:pt idx="76">
                  <c:v>32.238222782863865</c:v>
                </c:pt>
                <c:pt idx="77">
                  <c:v>29.422570670406934</c:v>
                </c:pt>
                <c:pt idx="78">
                  <c:v>26.852834620748517</c:v>
                </c:pt>
                <c:pt idx="79">
                  <c:v>24.507536586343331</c:v>
                </c:pt>
                <c:pt idx="80">
                  <c:v>22.367074389490089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92-4599-84D5-BB33F329869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Sheet1!$D$95:$CF$95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Sheet1!$D$101:$CF$101</c:f>
              <c:numCache>
                <c:formatCode>General</c:formatCode>
                <c:ptCount val="81"/>
                <c:pt idx="1">
                  <c:v>7.8493686747589955</c:v>
                </c:pt>
                <c:pt idx="2">
                  <c:v>14.51178087359791</c:v>
                </c:pt>
                <c:pt idx="3">
                  <c:v>12.422245803484431</c:v>
                </c:pt>
                <c:pt idx="4">
                  <c:v>10.826292645967493</c:v>
                </c:pt>
                <c:pt idx="5">
                  <c:v>9.5937438356196125</c:v>
                </c:pt>
                <c:pt idx="6">
                  <c:v>8.629338710852446</c:v>
                </c:pt>
                <c:pt idx="7">
                  <c:v>7.8633454512424272</c:v>
                </c:pt>
                <c:pt idx="8">
                  <c:v>7.2446980214192385</c:v>
                </c:pt>
                <c:pt idx="9">
                  <c:v>14.58534764023031</c:v>
                </c:pt>
                <c:pt idx="10">
                  <c:v>20.821532444586872</c:v>
                </c:pt>
                <c:pt idx="11">
                  <c:v>18.368124265641271</c:v>
                </c:pt>
                <c:pt idx="12">
                  <c:v>16.455853948698216</c:v>
                </c:pt>
                <c:pt idx="13">
                  <c:v>14.943651489151939</c:v>
                </c:pt>
                <c:pt idx="14">
                  <c:v>13.728221908742535</c:v>
                </c:pt>
                <c:pt idx="15">
                  <c:v>12.733891136444138</c:v>
                </c:pt>
                <c:pt idx="16">
                  <c:v>11.905182843171319</c:v>
                </c:pt>
                <c:pt idx="17">
                  <c:v>19.050760358397604</c:v>
                </c:pt>
                <c:pt idx="18">
                  <c:v>25.104396845967059</c:v>
                </c:pt>
                <c:pt idx="19">
                  <c:v>22.479103055815798</c:v>
                </c:pt>
                <c:pt idx="20">
                  <c:v>20.404192443821813</c:v>
                </c:pt>
                <c:pt idx="21">
                  <c:v>18.737504113140812</c:v>
                </c:pt>
                <c:pt idx="22">
                  <c:v>17.374892937145408</c:v>
                </c:pt>
                <c:pt idx="23">
                  <c:v>16.24001267444817</c:v>
                </c:pt>
                <c:pt idx="24">
                  <c:v>15.276846845108553</c:v>
                </c:pt>
                <c:pt idx="25">
                  <c:v>22.293616978203637</c:v>
                </c:pt>
                <c:pt idx="26">
                  <c:v>28.223728105224172</c:v>
                </c:pt>
                <c:pt idx="27">
                  <c:v>25.479878401463402</c:v>
                </c:pt>
                <c:pt idx="28">
                  <c:v>23.291111002419989</c:v>
                </c:pt>
                <c:pt idx="29">
                  <c:v>21.515027158072552</c:v>
                </c:pt>
                <c:pt idx="30">
                  <c:v>20.047269141662568</c:v>
                </c:pt>
                <c:pt idx="31">
                  <c:v>18.811298033669075</c:v>
                </c:pt>
                <c:pt idx="32">
                  <c:v>17.750920645731068</c:v>
                </c:pt>
                <c:pt idx="33">
                  <c:v>24.674194825926875</c:v>
                </c:pt>
                <c:pt idx="34">
                  <c:v>30.514372750213024</c:v>
                </c:pt>
                <c:pt idx="35">
                  <c:v>27.684008904986353</c:v>
                </c:pt>
                <c:pt idx="36">
                  <c:v>25.412010643557217</c:v>
                </c:pt>
                <c:pt idx="37">
                  <c:v>23.555850373882745</c:v>
                </c:pt>
                <c:pt idx="38">
                  <c:v>22.011047717000178</c:v>
                </c:pt>
                <c:pt idx="39">
                  <c:v>20.700946700346009</c:v>
                </c:pt>
                <c:pt idx="40">
                  <c:v>19.569242209353323</c:v>
                </c:pt>
                <c:pt idx="41">
                  <c:v>26.423884908438598</c:v>
                </c:pt>
                <c:pt idx="42">
                  <c:v>32.198024213974321</c:v>
                </c:pt>
                <c:pt idx="43">
                  <c:v>29.304116007922268</c:v>
                </c:pt>
                <c:pt idx="44">
                  <c:v>26.970972962954125</c:v>
                </c:pt>
                <c:pt idx="45">
                  <c:v>25.0559765276132</c:v>
                </c:pt>
                <c:pt idx="46">
                  <c:v>23.454558904478048</c:v>
                </c:pt>
                <c:pt idx="47">
                  <c:v>22.089980080729866</c:v>
                </c:pt>
                <c:pt idx="48">
                  <c:v>20.905854130972727</c:v>
                </c:pt>
                <c:pt idx="49">
                  <c:v>27.710054000783998</c:v>
                </c:pt>
                <c:pt idx="50">
                  <c:v>33.435654351622972</c:v>
                </c:pt>
                <c:pt idx="51">
                  <c:v>30.495039154293103</c:v>
                </c:pt>
                <c:pt idx="52">
                  <c:v>28.116951900663533</c:v>
                </c:pt>
                <c:pt idx="53">
                  <c:v>26.158707481346507</c:v>
                </c:pt>
                <c:pt idx="54">
                  <c:v>24.515674061628417</c:v>
                </c:pt>
                <c:pt idx="55">
                  <c:v>23.111050014536534</c:v>
                </c:pt>
                <c:pt idx="56">
                  <c:v>21.888390130477028</c:v>
                </c:pt>
                <c:pt idx="57">
                  <c:v>28.655510311586671</c:v>
                </c:pt>
                <c:pt idx="58">
                  <c:v>34.345430331150453</c:v>
                </c:pt>
                <c:pt idx="59">
                  <c:v>31.370481345048582</c:v>
                </c:pt>
                <c:pt idx="60">
                  <c:v>28.959356024740416</c:v>
                </c:pt>
                <c:pt idx="61">
                  <c:v>26.96932035930914</c:v>
                </c:pt>
                <c:pt idx="62">
                  <c:v>25.295695458711755</c:v>
                </c:pt>
                <c:pt idx="63">
                  <c:v>23.861634416979001</c:v>
                </c:pt>
                <c:pt idx="64">
                  <c:v>22.610648454675221</c:v>
                </c:pt>
                <c:pt idx="65">
                  <c:v>29.350511548645418</c:v>
                </c:pt>
                <c:pt idx="66">
                  <c:v>35.014203129293925</c:v>
                </c:pt>
                <c:pt idx="67">
                  <c:v>32.014015532258036</c:v>
                </c:pt>
                <c:pt idx="68">
                  <c:v>29.578604073889153</c:v>
                </c:pt>
                <c:pt idx="69">
                  <c:v>27.565198797975576</c:v>
                </c:pt>
                <c:pt idx="70">
                  <c:v>25.869086225766438</c:v>
                </c:pt>
                <c:pt idx="71">
                  <c:v>24.413386167959974</c:v>
                </c:pt>
                <c:pt idx="72">
                  <c:v>23.141577817888749</c:v>
                </c:pt>
                <c:pt idx="73">
                  <c:v>29.861404333854601</c:v>
                </c:pt>
                <c:pt idx="74">
                  <c:v>35.505815490786865</c:v>
                </c:pt>
                <c:pt idx="75">
                  <c:v>32.48707508801882</c:v>
                </c:pt>
                <c:pt idx="76">
                  <c:v>30.033810982529481</c:v>
                </c:pt>
                <c:pt idx="77">
                  <c:v>28.003226795022002</c:v>
                </c:pt>
                <c:pt idx="78">
                  <c:v>26.290583620837726</c:v>
                </c:pt>
                <c:pt idx="79">
                  <c:v>24.818976804310982</c:v>
                </c:pt>
                <c:pt idx="80">
                  <c:v>23.531861995741494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92-4599-84D5-BB33F3298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068768"/>
        <c:axId val="729827168"/>
      </c:scatterChart>
      <c:valAx>
        <c:axId val="735068768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827168"/>
        <c:crosses val="autoZero"/>
        <c:crossBetween val="midCat"/>
      </c:valAx>
      <c:valAx>
        <c:axId val="729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Cp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06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AUC for</a:t>
            </a:r>
            <a:r>
              <a:rPr lang="en-US" baseline="0"/>
              <a:t> each Dosage Interval (mg*hour/liter)                                                                              One Compartment Model in Blue Vrs Selected Two Compartment</a:t>
            </a:r>
            <a:endParaRPr lang="en-US"/>
          </a:p>
        </c:rich>
      </c:tx>
      <c:layout>
        <c:manualLayout>
          <c:xMode val="edge"/>
          <c:yMode val="edge"/>
          <c:x val="0.20145087512520821"/>
          <c:y val="3.12246579536165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Sheet1!$D$17:$CF$17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Sheet1!$D$23:$CF$23</c:f>
              <c:numCache>
                <c:formatCode>0.0</c:formatCode>
                <c:ptCount val="81"/>
                <c:pt idx="8">
                  <c:v>119.18409276281372</c:v>
                </c:pt>
                <c:pt idx="16">
                  <c:v>182.09436155814006</c:v>
                </c:pt>
                <c:pt idx="24">
                  <c:v>212.37727957119677</c:v>
                </c:pt>
                <c:pt idx="32">
                  <c:v>226.9544724674644</c:v>
                </c:pt>
                <c:pt idx="40">
                  <c:v>233.97144991472945</c:v>
                </c:pt>
                <c:pt idx="48">
                  <c:v>237.34919025512326</c:v>
                </c:pt>
                <c:pt idx="56">
                  <c:v>238.9751224877501</c:v>
                </c:pt>
                <c:pt idx="64">
                  <c:v>239.75779236721957</c:v>
                </c:pt>
                <c:pt idx="72">
                  <c:v>240.13454370281431</c:v>
                </c:pt>
                <c:pt idx="80">
                  <c:v>240.31589930700417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5F-425F-958D-CCB3DFC50D1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Sheet1!$D$95:$CF$95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Sheet1!$D$102:$CF$102</c:f>
              <c:numCache>
                <c:formatCode>General</c:formatCode>
                <c:ptCount val="81"/>
                <c:pt idx="8">
                  <c:v>78.940814016942554</c:v>
                </c:pt>
                <c:pt idx="16">
                  <c:v>123.5418056766666</c:v>
                </c:pt>
                <c:pt idx="24">
                  <c:v>154.66770927384525</c:v>
                </c:pt>
                <c:pt idx="32">
                  <c:v>177.41284946644646</c:v>
                </c:pt>
                <c:pt idx="40">
                  <c:v>194.12167412526571</c:v>
                </c:pt>
                <c:pt idx="48">
                  <c:v>206.40336773708313</c:v>
                </c:pt>
                <c:pt idx="56">
                  <c:v>215.43152109535214</c:v>
                </c:pt>
                <c:pt idx="64">
                  <c:v>222.06807670220124</c:v>
                </c:pt>
                <c:pt idx="72">
                  <c:v>226.94658329367726</c:v>
                </c:pt>
                <c:pt idx="80">
                  <c:v>230.53275511110195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5F-425F-958D-CCB3DFC50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181712"/>
        <c:axId val="599185320"/>
      </c:scatterChart>
      <c:valAx>
        <c:axId val="599181712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185320"/>
        <c:crosses val="autoZero"/>
        <c:crossBetween val="midCat"/>
      </c:valAx>
      <c:valAx>
        <c:axId val="59918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AUC mg*hour/Liter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181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Error In</a:t>
            </a:r>
            <a:r>
              <a:rPr lang="en-US" baseline="0"/>
              <a:t> AUC Calculation if a Two Compartment Model Applies                                                                                 (Assumes No Loading Dose Administered)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77188638492277"/>
          <c:y val="0.25083333333333335"/>
          <c:w val="0.83975109427211969"/>
          <c:h val="0.6278470399533391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Sheet1!$D$112:$CF$112</c:f>
              <c:numCache>
                <c:formatCode>General</c:formatCode>
                <c:ptCount val="8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-50.979052150683437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-47.394932881843353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-37.311970655215717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-27.924484134046669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-20.52824650777989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-14.992886432676311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-10.928577801749517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-7.9658976327068753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-5.811041619459556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-4.2437111338852418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A5-49E1-B0E8-84C77065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113384"/>
        <c:axId val="721115352"/>
      </c:scatterChart>
      <c:valAx>
        <c:axId val="721113384"/>
        <c:scaling>
          <c:orientation val="minMax"/>
          <c:max val="8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115352"/>
        <c:crosses val="autoZero"/>
        <c:crossBetween val="midCat"/>
        <c:majorUnit val="8"/>
        <c:minorUnit val="4"/>
      </c:valAx>
      <c:valAx>
        <c:axId val="72111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Errore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113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103979</xdr:colOff>
      <xdr:row>29</xdr:row>
      <xdr:rowOff>81754</xdr:rowOff>
    </xdr:from>
    <xdr:to>
      <xdr:col>42</xdr:col>
      <xdr:colOff>471090</xdr:colOff>
      <xdr:row>47</xdr:row>
      <xdr:rowOff>162717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F63A6B-096E-4E59-9BE5-9ADE02F7A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68262</xdr:colOff>
      <xdr:row>49</xdr:row>
      <xdr:rowOff>62309</xdr:rowOff>
    </xdr:from>
    <xdr:to>
      <xdr:col>42</xdr:col>
      <xdr:colOff>382587</xdr:colOff>
      <xdr:row>66</xdr:row>
      <xdr:rowOff>136524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769CCC-5A26-52D0-724F-F70F12127A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</xdr:colOff>
      <xdr:row>113</xdr:row>
      <xdr:rowOff>128587</xdr:rowOff>
    </xdr:from>
    <xdr:to>
      <xdr:col>15</xdr:col>
      <xdr:colOff>209550</xdr:colOff>
      <xdr:row>132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C330DDA-E778-6559-D29B-ECDE852FF2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</xdr:colOff>
      <xdr:row>133</xdr:row>
      <xdr:rowOff>42862</xdr:rowOff>
    </xdr:from>
    <xdr:to>
      <xdr:col>15</xdr:col>
      <xdr:colOff>228600</xdr:colOff>
      <xdr:row>147</xdr:row>
      <xdr:rowOff>119062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A2E6076-6532-1796-B8A8-2FE0957F6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138508</xdr:colOff>
      <xdr:row>28</xdr:row>
      <xdr:rowOff>181369</xdr:rowOff>
    </xdr:from>
    <xdr:to>
      <xdr:col>17</xdr:col>
      <xdr:colOff>515142</xdr:colOff>
      <xdr:row>47</xdr:row>
      <xdr:rowOff>130966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300169-A474-964B-466F-C1126426E7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168672</xdr:colOff>
      <xdr:row>47</xdr:row>
      <xdr:rowOff>180577</xdr:rowOff>
    </xdr:from>
    <xdr:to>
      <xdr:col>17</xdr:col>
      <xdr:colOff>482997</xdr:colOff>
      <xdr:row>67</xdr:row>
      <xdr:rowOff>94853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D4FF7BB-5DDC-4BAF-9C5C-6695C4182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9923</xdr:colOff>
      <xdr:row>47</xdr:row>
      <xdr:rowOff>176213</xdr:rowOff>
    </xdr:from>
    <xdr:to>
      <xdr:col>27</xdr:col>
      <xdr:colOff>599282</xdr:colOff>
      <xdr:row>67</xdr:row>
      <xdr:rowOff>128984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4D26AF8-AED3-2117-2330-7D686DEF19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kineticdrugdos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01A9A-CAD0-439F-B29A-EE4AA1285821}">
  <sheetPr codeName="Sheet1">
    <pageSetUpPr fitToPage="1"/>
  </sheetPr>
  <dimension ref="C1:CV113"/>
  <sheetViews>
    <sheetView tabSelected="1" zoomScale="96" zoomScaleNormal="96" workbookViewId="0">
      <selection activeCell="D73" sqref="D73"/>
    </sheetView>
  </sheetViews>
  <sheetFormatPr defaultRowHeight="15" x14ac:dyDescent="0.25"/>
  <cols>
    <col min="3" max="3" width="99.140625" customWidth="1"/>
  </cols>
  <sheetData>
    <row r="1" spans="3:86" x14ac:dyDescent="0.25">
      <c r="C1" s="1" t="s">
        <v>23</v>
      </c>
    </row>
    <row r="2" spans="3:86" x14ac:dyDescent="0.25">
      <c r="C2" s="3" t="s">
        <v>5</v>
      </c>
    </row>
    <row r="3" spans="3:86" x14ac:dyDescent="0.25">
      <c r="C3" t="s">
        <v>4</v>
      </c>
    </row>
    <row r="4" spans="3:86" x14ac:dyDescent="0.25">
      <c r="C4" s="7" t="s">
        <v>62</v>
      </c>
      <c r="D4" s="8">
        <f>D78</f>
        <v>4.1582769334507494</v>
      </c>
    </row>
    <row r="5" spans="3:86" x14ac:dyDescent="0.25">
      <c r="C5" s="11" t="s">
        <v>71</v>
      </c>
      <c r="D5" s="12">
        <v>0.65</v>
      </c>
    </row>
    <row r="6" spans="3:86" x14ac:dyDescent="0.25">
      <c r="C6" s="7" t="s">
        <v>72</v>
      </c>
      <c r="D6" s="8">
        <f>D71*D5</f>
        <v>45.5</v>
      </c>
    </row>
    <row r="7" spans="3:86" x14ac:dyDescent="0.25">
      <c r="C7" t="s">
        <v>1</v>
      </c>
      <c r="D7" s="4">
        <f>D4/D6</f>
        <v>9.1390701834082405E-2</v>
      </c>
    </row>
    <row r="8" spans="3:86" x14ac:dyDescent="0.25">
      <c r="C8" t="s">
        <v>11</v>
      </c>
      <c r="D8" s="4">
        <f>0.693/D7</f>
        <v>7.5828282975452428</v>
      </c>
    </row>
    <row r="9" spans="3:86" x14ac:dyDescent="0.25">
      <c r="C9" s="5" t="s">
        <v>6</v>
      </c>
      <c r="D9" s="6">
        <v>1000</v>
      </c>
    </row>
    <row r="10" spans="3:86" x14ac:dyDescent="0.25">
      <c r="C10" s="7" t="s">
        <v>60</v>
      </c>
      <c r="D10" s="10">
        <f>0.693*5/D7</f>
        <v>37.914141487726212</v>
      </c>
    </row>
    <row r="11" spans="3:86" x14ac:dyDescent="0.25">
      <c r="C11" s="7" t="s">
        <v>9</v>
      </c>
      <c r="D11" s="8">
        <v>8</v>
      </c>
    </row>
    <row r="12" spans="3:86" x14ac:dyDescent="0.25">
      <c r="C12" s="7" t="s">
        <v>10</v>
      </c>
      <c r="D12" s="8">
        <v>2</v>
      </c>
    </row>
    <row r="13" spans="3:86" x14ac:dyDescent="0.25">
      <c r="C13" t="s">
        <v>3</v>
      </c>
      <c r="D13">
        <f>1-EXP(-D7*D11)</f>
        <v>0.51863314856307696</v>
      </c>
    </row>
    <row r="14" spans="3:86" x14ac:dyDescent="0.25">
      <c r="C14" t="s">
        <v>2</v>
      </c>
      <c r="D14">
        <f>(1-EXP(-D7*D12))</f>
        <v>0.16704978430070083</v>
      </c>
    </row>
    <row r="15" spans="3:86" x14ac:dyDescent="0.25">
      <c r="C15" t="s">
        <v>24</v>
      </c>
      <c r="D15" s="1">
        <v>1</v>
      </c>
      <c r="L15" s="1">
        <v>2</v>
      </c>
      <c r="T15" s="1">
        <v>3</v>
      </c>
      <c r="AB15" s="1">
        <v>4</v>
      </c>
      <c r="AJ15">
        <v>5</v>
      </c>
      <c r="AR15" s="1">
        <v>6</v>
      </c>
      <c r="AZ15">
        <v>7</v>
      </c>
      <c r="BH15">
        <v>8</v>
      </c>
      <c r="BP15">
        <v>9</v>
      </c>
      <c r="BX15">
        <v>10</v>
      </c>
      <c r="CF15">
        <v>11</v>
      </c>
    </row>
    <row r="16" spans="3:86" x14ac:dyDescent="0.25">
      <c r="C16" t="s">
        <v>7</v>
      </c>
      <c r="D16" s="1">
        <v>0</v>
      </c>
      <c r="E16">
        <v>1</v>
      </c>
      <c r="F16">
        <v>2</v>
      </c>
      <c r="L16" s="1"/>
      <c r="M16">
        <v>1</v>
      </c>
      <c r="N16">
        <v>2</v>
      </c>
      <c r="T16" s="1"/>
      <c r="U16">
        <v>1</v>
      </c>
      <c r="V16">
        <v>2</v>
      </c>
      <c r="AB16" s="1"/>
      <c r="AC16">
        <v>1</v>
      </c>
      <c r="AD16">
        <v>2</v>
      </c>
      <c r="AK16">
        <v>1</v>
      </c>
      <c r="AL16">
        <v>2</v>
      </c>
      <c r="AR16" s="1"/>
      <c r="AS16">
        <v>1</v>
      </c>
      <c r="AT16">
        <v>2</v>
      </c>
      <c r="BA16">
        <v>1</v>
      </c>
      <c r="BB16">
        <v>2</v>
      </c>
      <c r="BI16">
        <v>1</v>
      </c>
      <c r="BJ16">
        <v>2</v>
      </c>
      <c r="BQ16">
        <v>1</v>
      </c>
      <c r="BR16">
        <v>2</v>
      </c>
      <c r="BY16">
        <v>1</v>
      </c>
      <c r="BZ16">
        <v>2</v>
      </c>
      <c r="CG16">
        <v>1</v>
      </c>
      <c r="CH16">
        <v>2</v>
      </c>
    </row>
    <row r="17" spans="3:100" x14ac:dyDescent="0.25">
      <c r="C17" t="s">
        <v>8</v>
      </c>
      <c r="D17">
        <v>0</v>
      </c>
      <c r="E17">
        <v>1</v>
      </c>
      <c r="F17">
        <v>2</v>
      </c>
      <c r="G17">
        <v>3</v>
      </c>
      <c r="H17">
        <v>4</v>
      </c>
      <c r="I17">
        <v>5</v>
      </c>
      <c r="J17">
        <v>6</v>
      </c>
      <c r="K17">
        <v>7</v>
      </c>
      <c r="L17">
        <v>8</v>
      </c>
      <c r="M17">
        <v>9</v>
      </c>
      <c r="N17">
        <v>10</v>
      </c>
      <c r="O17">
        <v>11</v>
      </c>
      <c r="P17">
        <v>12</v>
      </c>
      <c r="Q17">
        <v>13</v>
      </c>
      <c r="R17">
        <v>14</v>
      </c>
      <c r="S17">
        <v>15</v>
      </c>
      <c r="T17">
        <v>16</v>
      </c>
      <c r="U17">
        <v>17</v>
      </c>
      <c r="V17">
        <v>18</v>
      </c>
      <c r="W17">
        <v>19</v>
      </c>
      <c r="X17">
        <v>20</v>
      </c>
      <c r="Y17">
        <v>21</v>
      </c>
      <c r="Z17">
        <v>22</v>
      </c>
      <c r="AA17">
        <v>23</v>
      </c>
      <c r="AB17">
        <v>24</v>
      </c>
      <c r="AC17">
        <v>25</v>
      </c>
      <c r="AD17">
        <v>26</v>
      </c>
      <c r="AE17">
        <v>27</v>
      </c>
      <c r="AF17">
        <v>28</v>
      </c>
      <c r="AG17">
        <v>29</v>
      </c>
      <c r="AH17">
        <v>30</v>
      </c>
      <c r="AI17">
        <v>31</v>
      </c>
      <c r="AJ17">
        <v>32</v>
      </c>
      <c r="AK17">
        <v>33</v>
      </c>
      <c r="AL17">
        <v>34</v>
      </c>
      <c r="AM17">
        <v>35</v>
      </c>
      <c r="AN17">
        <v>36</v>
      </c>
      <c r="AO17">
        <v>37</v>
      </c>
      <c r="AP17">
        <v>38</v>
      </c>
      <c r="AQ17">
        <v>39</v>
      </c>
      <c r="AR17">
        <v>40</v>
      </c>
      <c r="AS17">
        <v>41</v>
      </c>
      <c r="AT17">
        <v>42</v>
      </c>
      <c r="AU17">
        <v>43</v>
      </c>
      <c r="AV17">
        <v>44</v>
      </c>
      <c r="AW17">
        <v>45</v>
      </c>
      <c r="AX17">
        <v>46</v>
      </c>
      <c r="AY17">
        <v>47</v>
      </c>
      <c r="AZ17">
        <v>48</v>
      </c>
      <c r="BA17">
        <v>49</v>
      </c>
      <c r="BB17">
        <v>50</v>
      </c>
      <c r="BC17">
        <v>51</v>
      </c>
      <c r="BD17">
        <v>52</v>
      </c>
      <c r="BE17">
        <v>53</v>
      </c>
      <c r="BF17">
        <v>54</v>
      </c>
      <c r="BG17">
        <v>55</v>
      </c>
      <c r="BH17">
        <v>56</v>
      </c>
      <c r="BI17">
        <v>57</v>
      </c>
      <c r="BJ17">
        <v>58</v>
      </c>
      <c r="BK17">
        <v>59</v>
      </c>
      <c r="BL17">
        <v>60</v>
      </c>
      <c r="BM17">
        <v>61</v>
      </c>
      <c r="BN17">
        <v>62</v>
      </c>
      <c r="BO17">
        <v>63</v>
      </c>
      <c r="BP17">
        <v>64</v>
      </c>
      <c r="BQ17">
        <v>65</v>
      </c>
      <c r="BR17">
        <v>66</v>
      </c>
      <c r="BS17">
        <v>67</v>
      </c>
      <c r="BT17">
        <v>68</v>
      </c>
      <c r="BU17">
        <v>69</v>
      </c>
      <c r="BV17">
        <v>70</v>
      </c>
      <c r="BW17">
        <v>71</v>
      </c>
      <c r="BX17">
        <v>72</v>
      </c>
      <c r="BY17">
        <v>73</v>
      </c>
      <c r="BZ17">
        <v>74</v>
      </c>
      <c r="CA17">
        <v>75</v>
      </c>
      <c r="CB17">
        <v>76</v>
      </c>
      <c r="CC17">
        <v>77</v>
      </c>
      <c r="CD17">
        <v>78</v>
      </c>
      <c r="CE17">
        <v>79</v>
      </c>
      <c r="CF17">
        <v>80</v>
      </c>
      <c r="CG17">
        <v>81</v>
      </c>
      <c r="CH17">
        <v>82</v>
      </c>
      <c r="CI17">
        <v>83</v>
      </c>
      <c r="CJ17">
        <v>84</v>
      </c>
      <c r="CK17">
        <v>85</v>
      </c>
      <c r="CL17">
        <v>86</v>
      </c>
      <c r="CM17">
        <v>87</v>
      </c>
      <c r="CN17">
        <v>88</v>
      </c>
      <c r="CO17">
        <v>89</v>
      </c>
      <c r="CP17">
        <v>90</v>
      </c>
      <c r="CQ17">
        <v>91</v>
      </c>
      <c r="CR17">
        <v>92</v>
      </c>
      <c r="CS17">
        <v>93</v>
      </c>
      <c r="CT17">
        <v>94</v>
      </c>
      <c r="CU17">
        <v>95</v>
      </c>
      <c r="CV17">
        <v>96</v>
      </c>
    </row>
    <row r="18" spans="3:100" x14ac:dyDescent="0.25">
      <c r="C18" t="s">
        <v>18</v>
      </c>
      <c r="F18">
        <f>IF(ISNUMBER(D15),1-EXP(-D15*$D7*$D11),"")</f>
        <v>0.51863314856307696</v>
      </c>
      <c r="N18">
        <f t="shared" ref="N18:BB18" si="0">1-EXP(-L15*$D7*$D11)</f>
        <v>0.76828595433770319</v>
      </c>
      <c r="V18">
        <f t="shared" si="0"/>
        <v>0.88846053940582881</v>
      </c>
      <c r="AD18">
        <f t="shared" si="0"/>
        <v>0.946308601042811</v>
      </c>
      <c r="AL18">
        <f t="shared" si="0"/>
        <v>0.97415474033473426</v>
      </c>
      <c r="AT18">
        <f t="shared" si="0"/>
        <v>0.98755894873036132</v>
      </c>
      <c r="BB18">
        <f t="shared" si="0"/>
        <v>0.99401129032176871</v>
      </c>
      <c r="BJ18">
        <f t="shared" ref="BJ18" si="1">1-EXP(-BH15*$D7*$D11)</f>
        <v>0.99711723367801997</v>
      </c>
      <c r="BR18">
        <f t="shared" ref="BR18" si="2">1-EXP(-BP15*$D7*$D11)</f>
        <v>0.99861233185216003</v>
      </c>
      <c r="BZ18">
        <f t="shared" ref="BZ18" si="3">1-EXP(-BX15*$D7*$D11)</f>
        <v>0.99933202255283504</v>
      </c>
      <c r="CH18">
        <f t="shared" ref="CH18" si="4">1-EXP(-CF15*$D7*$D11)</f>
        <v>0.99967845779942732</v>
      </c>
    </row>
    <row r="19" spans="3:100" x14ac:dyDescent="0.25">
      <c r="C19" t="s">
        <v>74</v>
      </c>
      <c r="F19">
        <f t="shared" ref="F19:AD19" si="5">($D9*$D14*F18)/($D4*$D12*$D13)</f>
        <v>20.086418842969461</v>
      </c>
      <c r="N19">
        <f t="shared" si="5"/>
        <v>29.755355038052958</v>
      </c>
      <c r="V19">
        <f t="shared" si="5"/>
        <v>34.409660411024802</v>
      </c>
      <c r="AD19">
        <f t="shared" si="5"/>
        <v>36.650088734038206</v>
      </c>
      <c r="AL19">
        <f t="shared" ref="AL19:AT19" si="6">($D9*$D14*AL18)/($D4*$D12*$D13)</f>
        <v>37.728556661757281</v>
      </c>
      <c r="AT19">
        <f t="shared" si="6"/>
        <v>38.247695372499109</v>
      </c>
      <c r="BB19">
        <f t="shared" ref="BB19" si="7">($D9*$D14*BB18)/($D4*$D12*$D13)</f>
        <v>38.497591539147933</v>
      </c>
      <c r="BJ19">
        <f t="shared" ref="BJ19" si="8">($D9*$D14*BJ18)/($D4*$D12*$D13)</f>
        <v>38.61788327007384</v>
      </c>
      <c r="BR19">
        <f t="shared" ref="BR19" si="9">($D9*$D14*BR18)/($D4*$D12*$D13)</f>
        <v>38.675787721843534</v>
      </c>
      <c r="BZ19">
        <f t="shared" ref="BZ19" si="10">($D9*$D14*BZ18)/($D4*$D12*$D13)</f>
        <v>38.703661005476093</v>
      </c>
      <c r="CH19">
        <f t="shared" ref="CH19" si="11">($D9*$D14*CH18)/($D4*$D12*$D13)</f>
        <v>38.71707828025751</v>
      </c>
    </row>
    <row r="20" spans="3:100" x14ac:dyDescent="0.25">
      <c r="C20" t="s">
        <v>53</v>
      </c>
      <c r="G20">
        <f>$F19*EXP(-$D7*1)</f>
        <v>18.332092370699904</v>
      </c>
      <c r="H20">
        <f t="shared" ref="H20:N20" si="12">G20*EXP(-$D7*1)</f>
        <v>16.730986907877881</v>
      </c>
      <c r="I20">
        <f t="shared" si="12"/>
        <v>15.269720294393963</v>
      </c>
      <c r="J20">
        <f t="shared" si="12"/>
        <v>13.936079153779032</v>
      </c>
      <c r="K20">
        <f t="shared" si="12"/>
        <v>12.718916812883418</v>
      </c>
      <c r="L20">
        <f t="shared" si="12"/>
        <v>11.608060137142752</v>
      </c>
      <c r="M20">
        <f t="shared" si="12"/>
        <v>10.594224502752686</v>
      </c>
      <c r="N20">
        <f t="shared" si="12"/>
        <v>9.6689361950834911</v>
      </c>
      <c r="O20">
        <f>$N19*EXP(-$D7*1)</f>
        <v>27.156553955434557</v>
      </c>
      <c r="P20">
        <f t="shared" ref="P20:V20" si="13">O20*EXP(-$D7*1)</f>
        <v>24.784729397155438</v>
      </c>
      <c r="Q20">
        <f t="shared" si="13"/>
        <v>22.620057474828869</v>
      </c>
      <c r="R20">
        <f t="shared" si="13"/>
        <v>20.644445697409381</v>
      </c>
      <c r="S20">
        <f t="shared" si="13"/>
        <v>18.84138175278925</v>
      </c>
      <c r="T20">
        <f t="shared" si="13"/>
        <v>17.195795496649612</v>
      </c>
      <c r="U20">
        <f t="shared" si="13"/>
        <v>15.693932995058645</v>
      </c>
      <c r="V20">
        <f t="shared" si="13"/>
        <v>14.323241568055332</v>
      </c>
      <c r="W20">
        <f>$V19*EXP(-$D7*1)</f>
        <v>31.404357244104357</v>
      </c>
      <c r="X20">
        <f t="shared" ref="X20:AD20" si="14">W20*EXP(-$D7*1)</f>
        <v>28.661534061502742</v>
      </c>
      <c r="Y20">
        <f t="shared" si="14"/>
        <v>26.158266140374572</v>
      </c>
      <c r="Z20">
        <f t="shared" si="14"/>
        <v>23.873630978801518</v>
      </c>
      <c r="AA20">
        <f t="shared" si="14"/>
        <v>21.788533423944674</v>
      </c>
      <c r="AB20">
        <f t="shared" si="14"/>
        <v>19.885546073318196</v>
      </c>
      <c r="AC20">
        <f t="shared" si="14"/>
        <v>18.148763615246104</v>
      </c>
      <c r="AD20">
        <f t="shared" si="14"/>
        <v>16.563669891068741</v>
      </c>
      <c r="AE20">
        <f>AD19*EXP(-$D7*1)</f>
        <v>33.449108938694742</v>
      </c>
      <c r="AF20">
        <f t="shared" ref="AF20:AL20" si="15">AE20*EXP(-$D7*1)</f>
        <v>30.527699316415578</v>
      </c>
      <c r="AG20">
        <f t="shared" si="15"/>
        <v>27.861442505435139</v>
      </c>
      <c r="AH20">
        <f t="shared" si="15"/>
        <v>25.428053730411701</v>
      </c>
      <c r="AI20">
        <f t="shared" si="15"/>
        <v>23.207194544595822</v>
      </c>
      <c r="AJ20">
        <f t="shared" si="15"/>
        <v>21.180302839559797</v>
      </c>
      <c r="AK20">
        <f t="shared" si="15"/>
        <v>19.330437701696688</v>
      </c>
      <c r="AL20">
        <f t="shared" si="15"/>
        <v>17.642137818787813</v>
      </c>
      <c r="AM20">
        <f>AL19*EXP(-$D7*1)</f>
        <v>34.433384623890035</v>
      </c>
      <c r="AN20">
        <f t="shared" ref="AN20:AT20" si="16">AM20*EXP(-$D7*1)</f>
        <v>31.426009409433959</v>
      </c>
      <c r="AO20">
        <f t="shared" si="16"/>
        <v>28.681295149726136</v>
      </c>
      <c r="AP20">
        <f t="shared" si="16"/>
        <v>26.176301316156223</v>
      </c>
      <c r="AQ20">
        <f t="shared" si="16"/>
        <v>23.89009098149965</v>
      </c>
      <c r="AR20">
        <f t="shared" si="16"/>
        <v>21.803555827502176</v>
      </c>
      <c r="AS20">
        <f t="shared" si="16"/>
        <v>19.899256436116016</v>
      </c>
      <c r="AT20">
        <f t="shared" si="16"/>
        <v>18.161276529529648</v>
      </c>
      <c r="AU20">
        <f>AT19*EXP(-$D7*1)</f>
        <v>34.907182311418403</v>
      </c>
      <c r="AV20">
        <f>AU20*EXP(-$D7*1)</f>
        <v>31.858426110524217</v>
      </c>
      <c r="AW20">
        <f>AV20*EXP(-$D7*1)</f>
        <v>29.075945035750721</v>
      </c>
      <c r="AX20">
        <f>AW20*EXP(-$D7*1)</f>
        <v>26.536482900601332</v>
      </c>
      <c r="AY20">
        <f>AX20*EXP(-$D7*1)</f>
        <v>24.218814689189529</v>
      </c>
      <c r="AZ20">
        <f>AY20*EXP(-$D7*1)</f>
        <v>22.103569155956645</v>
      </c>
      <c r="BA20">
        <f t="shared" ref="BA20:CH20" si="17">AZ20*EXP(-$D7*1)</f>
        <v>20.173066919341775</v>
      </c>
      <c r="BB20">
        <f t="shared" si="17"/>
        <v>18.411172696178465</v>
      </c>
      <c r="BC20">
        <f>BB19*EXP(-$D7*1)</f>
        <v>35.135252812482037</v>
      </c>
      <c r="BD20">
        <f t="shared" si="17"/>
        <v>32.06657717643678</v>
      </c>
      <c r="BE20">
        <f t="shared" si="17"/>
        <v>29.265916408806316</v>
      </c>
      <c r="BF20">
        <f t="shared" si="17"/>
        <v>26.709862375851237</v>
      </c>
      <c r="BG20">
        <f t="shared" si="17"/>
        <v>24.377051385352878</v>
      </c>
      <c r="BH20">
        <f t="shared" si="17"/>
        <v>22.247985627263883</v>
      </c>
      <c r="BI20">
        <f t="shared" si="17"/>
        <v>20.304870209542578</v>
      </c>
      <c r="BJ20">
        <f>BI20*EXP(-$D7*1)</f>
        <v>18.531464427104357</v>
      </c>
      <c r="BK20">
        <f>BJ19*EXP(-$D7*1)</f>
        <v>35.245038391484684</v>
      </c>
      <c r="BL20">
        <f t="shared" si="17"/>
        <v>32.166774199658356</v>
      </c>
      <c r="BM20">
        <f t="shared" si="17"/>
        <v>29.357362330517244</v>
      </c>
      <c r="BN20">
        <f t="shared" si="17"/>
        <v>26.79332150795608</v>
      </c>
      <c r="BO20">
        <f t="shared" si="17"/>
        <v>24.453221285566819</v>
      </c>
      <c r="BP20">
        <f t="shared" si="17"/>
        <v>22.317502929352688</v>
      </c>
      <c r="BQ20">
        <f t="shared" si="17"/>
        <v>20.368315944355576</v>
      </c>
      <c r="BR20">
        <f t="shared" si="17"/>
        <v>18.589368878874062</v>
      </c>
      <c r="BS20">
        <f>BR19*EXP(-$D7*1)</f>
        <v>35.297885529982366</v>
      </c>
      <c r="BT20">
        <f t="shared" si="17"/>
        <v>32.215005725249881</v>
      </c>
      <c r="BU20">
        <f t="shared" si="17"/>
        <v>29.401381365927985</v>
      </c>
      <c r="BV20">
        <f t="shared" si="17"/>
        <v>26.833495967601049</v>
      </c>
      <c r="BW20">
        <f t="shared" si="17"/>
        <v>24.489886950607072</v>
      </c>
      <c r="BX20">
        <f t="shared" si="17"/>
        <v>22.350966254179568</v>
      </c>
      <c r="BY20">
        <f t="shared" si="17"/>
        <v>20.398856617959613</v>
      </c>
      <c r="BZ20">
        <f t="shared" si="17"/>
        <v>18.617242162506628</v>
      </c>
      <c r="CA20">
        <f>BZ19*EXP(-$D7*1)</f>
        <v>35.323324390648445</v>
      </c>
      <c r="CB20">
        <f t="shared" si="17"/>
        <v>32.238222782863865</v>
      </c>
      <c r="CC20">
        <f t="shared" si="17"/>
        <v>29.422570670406934</v>
      </c>
      <c r="CD20">
        <f t="shared" si="17"/>
        <v>26.852834620748517</v>
      </c>
      <c r="CE20">
        <f t="shared" si="17"/>
        <v>24.507536586343331</v>
      </c>
      <c r="CF20">
        <f t="shared" si="17"/>
        <v>22.367074389490089</v>
      </c>
      <c r="CG20">
        <f t="shared" si="17"/>
        <v>20.413557885853145</v>
      </c>
      <c r="CH20">
        <f t="shared" si="17"/>
        <v>18.630659437288038</v>
      </c>
    </row>
    <row r="21" spans="3:100" x14ac:dyDescent="0.25">
      <c r="C21" t="s">
        <v>64</v>
      </c>
      <c r="D21">
        <f>$D9*(1-EXP(-$D7*D16))/($D6*$D7*$D12)</f>
        <v>0</v>
      </c>
      <c r="E21">
        <f>$D9*(1-EXP(-$D7*E16))/($D6*$D7*$D12)</f>
        <v>10.501818243067301</v>
      </c>
      <c r="F21">
        <f>$D9*(1-EXP(-$D7*F16))/($D6*$D7*$D12)</f>
        <v>20.086418842969465</v>
      </c>
      <c r="M21">
        <f>$D9*(1-EXP(-$D7*M16))/($D6*$D7*$D12)</f>
        <v>10.501818243067301</v>
      </c>
      <c r="N21">
        <f>$D9*(1-EXP(-$D7*N16))/($D6*$D7*$D12)</f>
        <v>20.086418842969465</v>
      </c>
      <c r="U21">
        <f>$D9*(1-EXP(-$D7*U16))/($D6*$D7*$D12)</f>
        <v>10.501818243067301</v>
      </c>
      <c r="V21">
        <f>$D9*(1-EXP(-$D7*V16))/($D6*$D7*$D12)</f>
        <v>20.086418842969465</v>
      </c>
      <c r="AC21">
        <f>$D9*(1-EXP(-$D7*AC16))/($D6*$D7*$D12)</f>
        <v>10.501818243067301</v>
      </c>
      <c r="AD21">
        <f>$D9*(1-EXP(-$D7*AD16))/($D6*$D7*$D12)</f>
        <v>20.086418842969465</v>
      </c>
      <c r="AK21">
        <f>$D9*(1-EXP(-$D7*AK16))/($D6*$D7*$D12)</f>
        <v>10.501818243067301</v>
      </c>
      <c r="AL21">
        <f>$D9*(1-EXP(-$D7*AL16))/($D6*$D7*$D12)</f>
        <v>20.086418842969465</v>
      </c>
      <c r="AS21">
        <f>$D9*(1-EXP(-$D7*AS16))/($D6*$D7*$D12)</f>
        <v>10.501818243067301</v>
      </c>
      <c r="AT21">
        <f>$D9*(1-EXP(-$D7*AT16))/($D6*$D7*$D12)</f>
        <v>20.086418842969465</v>
      </c>
      <c r="BA21">
        <f>$D9*(1-EXP(-$D7*BA16))/($D6*$D7*$D12)</f>
        <v>10.501818243067301</v>
      </c>
      <c r="BB21">
        <f>$D9*(1-EXP(-$D7*BB16))/($D6*$D7*$D12)</f>
        <v>20.086418842969465</v>
      </c>
      <c r="BI21">
        <f>$D9*(1-EXP(-$D7*BI16))/($D6*$D7*$D12)</f>
        <v>10.501818243067301</v>
      </c>
      <c r="BJ21">
        <f>$D9*(1-EXP(-$D7*BJ16))/($D6*$D7*$D12)</f>
        <v>20.086418842969465</v>
      </c>
      <c r="BQ21">
        <f>$D9*(1-EXP(-$D7*BQ16))/($D6*$D7*$D12)</f>
        <v>10.501818243067301</v>
      </c>
      <c r="BR21">
        <f>$D9*(1-EXP(-$D7*BR16))/($D6*$D7*$D12)</f>
        <v>20.086418842969465</v>
      </c>
      <c r="BY21">
        <f>$D9*(1-EXP(-$D7*BY16))/($D6*$D7*$D12)</f>
        <v>10.501818243067301</v>
      </c>
      <c r="BZ21">
        <f>$D9*(1-EXP(-$D7*BZ16))/($D6*$D7*$D12)</f>
        <v>20.086418842969465</v>
      </c>
      <c r="CG21">
        <f>$D9*(1-EXP(-$D7*CG16))/($D6*$D7*$D12)</f>
        <v>10.501818243067301</v>
      </c>
      <c r="CH21">
        <f>$D9*(1-EXP(-$D7*CH16))/($D6*$D7*$D12)</f>
        <v>20.086418842969465</v>
      </c>
    </row>
    <row r="22" spans="3:100" x14ac:dyDescent="0.25">
      <c r="C22" t="s">
        <v>65</v>
      </c>
      <c r="D22">
        <f>D21</f>
        <v>0</v>
      </c>
      <c r="E22">
        <f>E21</f>
        <v>10.501818243067301</v>
      </c>
      <c r="F22">
        <f>F21</f>
        <v>20.086418842969465</v>
      </c>
      <c r="G22">
        <f>SUM(G20:G21)</f>
        <v>18.332092370699904</v>
      </c>
      <c r="H22">
        <f t="shared" ref="H22:AT22" si="18">SUM(H20:H21)</f>
        <v>16.730986907877881</v>
      </c>
      <c r="I22">
        <f t="shared" si="18"/>
        <v>15.269720294393963</v>
      </c>
      <c r="J22">
        <f t="shared" si="18"/>
        <v>13.936079153779032</v>
      </c>
      <c r="K22">
        <f t="shared" si="18"/>
        <v>12.718916812883418</v>
      </c>
      <c r="L22">
        <f t="shared" si="18"/>
        <v>11.608060137142752</v>
      </c>
      <c r="M22">
        <f>SUM(M20:M21)</f>
        <v>21.096042745819986</v>
      </c>
      <c r="N22">
        <f>SUM(N20:N21)</f>
        <v>29.755355038052954</v>
      </c>
      <c r="O22">
        <f t="shared" si="18"/>
        <v>27.156553955434557</v>
      </c>
      <c r="P22">
        <f t="shared" si="18"/>
        <v>24.784729397155438</v>
      </c>
      <c r="Q22">
        <f t="shared" si="18"/>
        <v>22.620057474828869</v>
      </c>
      <c r="R22">
        <f t="shared" si="18"/>
        <v>20.644445697409381</v>
      </c>
      <c r="S22">
        <f t="shared" si="18"/>
        <v>18.84138175278925</v>
      </c>
      <c r="T22">
        <f t="shared" si="18"/>
        <v>17.195795496649612</v>
      </c>
      <c r="U22">
        <f t="shared" si="18"/>
        <v>26.195751238125947</v>
      </c>
      <c r="V22">
        <f t="shared" si="18"/>
        <v>34.409660411024795</v>
      </c>
      <c r="W22">
        <f t="shared" si="18"/>
        <v>31.404357244104357</v>
      </c>
      <c r="X22">
        <f t="shared" si="18"/>
        <v>28.661534061502742</v>
      </c>
      <c r="Y22">
        <f t="shared" si="18"/>
        <v>26.158266140374572</v>
      </c>
      <c r="Z22">
        <f t="shared" si="18"/>
        <v>23.873630978801518</v>
      </c>
      <c r="AA22">
        <f t="shared" si="18"/>
        <v>21.788533423944674</v>
      </c>
      <c r="AB22">
        <f t="shared" si="18"/>
        <v>19.885546073318196</v>
      </c>
      <c r="AC22">
        <f t="shared" si="18"/>
        <v>28.650581858313405</v>
      </c>
      <c r="AD22">
        <f t="shared" si="18"/>
        <v>36.650088734038206</v>
      </c>
      <c r="AE22">
        <f t="shared" si="18"/>
        <v>33.449108938694742</v>
      </c>
      <c r="AF22">
        <f t="shared" si="18"/>
        <v>30.527699316415578</v>
      </c>
      <c r="AG22">
        <f t="shared" si="18"/>
        <v>27.861442505435139</v>
      </c>
      <c r="AH22">
        <f t="shared" si="18"/>
        <v>25.428053730411701</v>
      </c>
      <c r="AI22">
        <f t="shared" si="18"/>
        <v>23.207194544595822</v>
      </c>
      <c r="AJ22">
        <f t="shared" si="18"/>
        <v>21.180302839559797</v>
      </c>
      <c r="AK22">
        <f t="shared" si="18"/>
        <v>29.83225594476399</v>
      </c>
      <c r="AL22">
        <f t="shared" si="18"/>
        <v>37.728556661757281</v>
      </c>
      <c r="AM22">
        <f t="shared" si="18"/>
        <v>34.433384623890035</v>
      </c>
      <c r="AN22">
        <f t="shared" si="18"/>
        <v>31.426009409433959</v>
      </c>
      <c r="AO22">
        <f t="shared" si="18"/>
        <v>28.681295149726136</v>
      </c>
      <c r="AP22">
        <f t="shared" si="18"/>
        <v>26.176301316156223</v>
      </c>
      <c r="AQ22">
        <f t="shared" si="18"/>
        <v>23.89009098149965</v>
      </c>
      <c r="AR22">
        <f t="shared" si="18"/>
        <v>21.803555827502176</v>
      </c>
      <c r="AS22">
        <f t="shared" si="18"/>
        <v>30.401074679183317</v>
      </c>
      <c r="AT22">
        <f t="shared" si="18"/>
        <v>38.247695372499109</v>
      </c>
      <c r="AU22">
        <f>SUM(AU20:AU21)</f>
        <v>34.907182311418403</v>
      </c>
      <c r="AV22">
        <f t="shared" ref="AV22" si="19">SUM(AV20:AV21)</f>
        <v>31.858426110524217</v>
      </c>
      <c r="AW22">
        <f t="shared" ref="AW22" si="20">SUM(AW20:AW21)</f>
        <v>29.075945035750721</v>
      </c>
      <c r="AX22">
        <f t="shared" ref="AX22" si="21">SUM(AX20:AX21)</f>
        <v>26.536482900601332</v>
      </c>
      <c r="AY22">
        <f t="shared" ref="AY22" si="22">SUM(AY20:AY21)</f>
        <v>24.218814689189529</v>
      </c>
      <c r="AZ22">
        <f t="shared" ref="AZ22:CH22" si="23">SUM(AZ20:AZ21)</f>
        <v>22.103569155956645</v>
      </c>
      <c r="BA22">
        <f t="shared" si="23"/>
        <v>30.674885162409076</v>
      </c>
      <c r="BB22">
        <f t="shared" si="23"/>
        <v>38.497591539147933</v>
      </c>
      <c r="BC22">
        <f t="shared" si="23"/>
        <v>35.135252812482037</v>
      </c>
      <c r="BD22">
        <f t="shared" si="23"/>
        <v>32.06657717643678</v>
      </c>
      <c r="BE22">
        <f t="shared" si="23"/>
        <v>29.265916408806316</v>
      </c>
      <c r="BF22">
        <f t="shared" si="23"/>
        <v>26.709862375851237</v>
      </c>
      <c r="BG22">
        <f t="shared" si="23"/>
        <v>24.377051385352878</v>
      </c>
      <c r="BH22">
        <f t="shared" si="23"/>
        <v>22.247985627263883</v>
      </c>
      <c r="BI22">
        <f t="shared" si="23"/>
        <v>30.80668845260988</v>
      </c>
      <c r="BJ22">
        <f t="shared" si="23"/>
        <v>38.617883270073818</v>
      </c>
      <c r="BK22">
        <f t="shared" si="23"/>
        <v>35.245038391484684</v>
      </c>
      <c r="BL22">
        <f t="shared" si="23"/>
        <v>32.166774199658356</v>
      </c>
      <c r="BM22">
        <f t="shared" si="23"/>
        <v>29.357362330517244</v>
      </c>
      <c r="BN22">
        <f t="shared" si="23"/>
        <v>26.79332150795608</v>
      </c>
      <c r="BO22">
        <f t="shared" si="23"/>
        <v>24.453221285566819</v>
      </c>
      <c r="BP22">
        <f t="shared" si="23"/>
        <v>22.317502929352688</v>
      </c>
      <c r="BQ22">
        <f t="shared" si="23"/>
        <v>30.870134187422877</v>
      </c>
      <c r="BR22">
        <f t="shared" si="23"/>
        <v>38.675787721843527</v>
      </c>
      <c r="BS22">
        <f t="shared" si="23"/>
        <v>35.297885529982366</v>
      </c>
      <c r="BT22">
        <f t="shared" si="23"/>
        <v>32.215005725249881</v>
      </c>
      <c r="BU22">
        <f t="shared" si="23"/>
        <v>29.401381365927985</v>
      </c>
      <c r="BV22">
        <f t="shared" si="23"/>
        <v>26.833495967601049</v>
      </c>
      <c r="BW22">
        <f t="shared" si="23"/>
        <v>24.489886950607072</v>
      </c>
      <c r="BX22">
        <f t="shared" si="23"/>
        <v>22.350966254179568</v>
      </c>
      <c r="BY22">
        <f t="shared" si="23"/>
        <v>30.900674861026914</v>
      </c>
      <c r="BZ22">
        <f t="shared" si="23"/>
        <v>38.703661005476093</v>
      </c>
      <c r="CA22">
        <f t="shared" si="23"/>
        <v>35.323324390648445</v>
      </c>
      <c r="CB22">
        <f t="shared" si="23"/>
        <v>32.238222782863865</v>
      </c>
      <c r="CC22">
        <f t="shared" si="23"/>
        <v>29.422570670406934</v>
      </c>
      <c r="CD22">
        <f t="shared" si="23"/>
        <v>26.852834620748517</v>
      </c>
      <c r="CE22">
        <f t="shared" si="23"/>
        <v>24.507536586343331</v>
      </c>
      <c r="CF22">
        <f t="shared" si="23"/>
        <v>22.367074389490089</v>
      </c>
      <c r="CG22">
        <f t="shared" si="23"/>
        <v>30.915376128920446</v>
      </c>
      <c r="CH22">
        <f t="shared" si="23"/>
        <v>38.717078280257503</v>
      </c>
    </row>
    <row r="23" spans="3:100" x14ac:dyDescent="0.25">
      <c r="C23" t="s">
        <v>66</v>
      </c>
      <c r="D23" s="2"/>
      <c r="E23" s="2"/>
      <c r="F23" s="2"/>
      <c r="G23" s="2"/>
      <c r="H23" s="2"/>
      <c r="I23" s="2"/>
      <c r="J23" s="2"/>
      <c r="K23" s="2"/>
      <c r="L23" s="2">
        <f>SUM(E22:L22)</f>
        <v>119.18409276281372</v>
      </c>
      <c r="M23" s="2"/>
      <c r="N23" s="2"/>
      <c r="O23" s="2"/>
      <c r="P23" s="2"/>
      <c r="Q23" s="2"/>
      <c r="R23" s="2"/>
      <c r="S23" s="2"/>
      <c r="T23" s="2">
        <f>SUM(M22:T22)</f>
        <v>182.09436155814006</v>
      </c>
      <c r="U23" s="2"/>
      <c r="V23" s="2"/>
      <c r="W23" s="2"/>
      <c r="X23" s="2"/>
      <c r="Y23" s="2"/>
      <c r="Z23" s="2"/>
      <c r="AA23" s="2"/>
      <c r="AB23" s="2">
        <f>SUM(U22:AB22)</f>
        <v>212.37727957119677</v>
      </c>
      <c r="AC23" s="2"/>
      <c r="AD23" s="2"/>
      <c r="AE23" s="2"/>
      <c r="AF23" s="2"/>
      <c r="AG23" s="2"/>
      <c r="AH23" s="2"/>
      <c r="AI23" s="2"/>
      <c r="AJ23" s="2">
        <f>SUM(AC22:AJ22)</f>
        <v>226.9544724674644</v>
      </c>
      <c r="AK23" s="2"/>
      <c r="AL23" s="2"/>
      <c r="AM23" s="2"/>
      <c r="AN23" s="2"/>
      <c r="AO23" s="2"/>
      <c r="AP23" s="2"/>
      <c r="AQ23" s="2"/>
      <c r="AR23" s="2">
        <f>SUM(AK22:AR22)</f>
        <v>233.97144991472945</v>
      </c>
      <c r="AS23" s="2"/>
      <c r="AT23" s="2"/>
      <c r="AU23" s="2"/>
      <c r="AV23" s="2"/>
      <c r="AW23" s="2"/>
      <c r="AX23" s="2"/>
      <c r="AY23" s="2"/>
      <c r="AZ23" s="2">
        <f>SUM(AS22:AZ22)</f>
        <v>237.34919025512326</v>
      </c>
      <c r="BH23" s="2">
        <f>SUM(BA22:BH22)</f>
        <v>238.9751224877501</v>
      </c>
      <c r="BP23" s="2">
        <f>SUM(BI22:BP22)</f>
        <v>239.75779236721957</v>
      </c>
      <c r="BX23" s="2">
        <f>SUM(BQ22:BX22)</f>
        <v>240.13454370281431</v>
      </c>
      <c r="BZ23" s="2"/>
      <c r="CF23" s="2">
        <f>SUM(BY22:CF22)</f>
        <v>240.31589930700417</v>
      </c>
    </row>
    <row r="24" spans="3:100" hidden="1" x14ac:dyDescent="0.25">
      <c r="C24" t="s">
        <v>0</v>
      </c>
      <c r="D24" s="2">
        <f>((AR22+AT22)*D12/2 + (AT19-AZ20)/D7)*24/D11</f>
        <v>710.10239911489657</v>
      </c>
    </row>
    <row r="25" spans="3:100" x14ac:dyDescent="0.25">
      <c r="C25" s="1" t="s">
        <v>63</v>
      </c>
      <c r="D25" s="9">
        <f>BX23*24/D11</f>
        <v>720.40363110844294</v>
      </c>
      <c r="CF25" s="2">
        <f>(BZ22+CF22)*(D12/2)+(BZ22-CF22)/((LN(BZ22/CF22))/(D11-D12))</f>
        <v>239.82619178313001</v>
      </c>
    </row>
    <row r="26" spans="3:100" x14ac:dyDescent="0.25">
      <c r="C26" t="s">
        <v>20</v>
      </c>
      <c r="D26" s="2">
        <f>D9*D14/(D4*D12*D13)</f>
        <v>38.729531459029992</v>
      </c>
    </row>
    <row r="27" spans="3:100" x14ac:dyDescent="0.25">
      <c r="C27" t="s">
        <v>21</v>
      </c>
      <c r="D27" s="2">
        <f>D26*EXP(-D7*(D11-D12))</f>
        <v>22.382025077463716</v>
      </c>
    </row>
    <row r="28" spans="3:100" x14ac:dyDescent="0.25">
      <c r="C28" s="1" t="s">
        <v>22</v>
      </c>
      <c r="D28" s="9">
        <f>((D26+D27)*D12/2 +(D26-D27)/D7)*24/D11</f>
        <v>719.95949205295392</v>
      </c>
    </row>
    <row r="29" spans="3:100" x14ac:dyDescent="0.25">
      <c r="C29" s="1" t="s">
        <v>26</v>
      </c>
      <c r="D29" s="9">
        <f>D9*24/D11/D4</f>
        <v>721.45267090483264</v>
      </c>
      <c r="I29" s="1" t="str">
        <f>D70</f>
        <v>Goti</v>
      </c>
      <c r="J29" s="1" t="s">
        <v>44</v>
      </c>
    </row>
    <row r="31" spans="3:100" x14ac:dyDescent="0.25">
      <c r="C31" t="s">
        <v>12</v>
      </c>
    </row>
    <row r="32" spans="3:100" x14ac:dyDescent="0.25">
      <c r="C32" t="s">
        <v>14</v>
      </c>
    </row>
    <row r="33" spans="3:3" x14ac:dyDescent="0.25">
      <c r="C33" t="s">
        <v>15</v>
      </c>
    </row>
    <row r="34" spans="3:3" x14ac:dyDescent="0.25">
      <c r="C34" t="s">
        <v>13</v>
      </c>
    </row>
    <row r="35" spans="3:3" x14ac:dyDescent="0.25">
      <c r="C35" t="s">
        <v>16</v>
      </c>
    </row>
    <row r="36" spans="3:3" x14ac:dyDescent="0.25">
      <c r="C36" t="s">
        <v>25</v>
      </c>
    </row>
    <row r="69" spans="3:8" x14ac:dyDescent="0.25">
      <c r="C69" s="1" t="s">
        <v>73</v>
      </c>
    </row>
    <row r="70" spans="3:8" ht="18.75" customHeight="1" x14ac:dyDescent="0.25">
      <c r="C70" s="11" t="s">
        <v>75</v>
      </c>
      <c r="D70" s="13" t="s">
        <v>39</v>
      </c>
    </row>
    <row r="71" spans="3:8" x14ac:dyDescent="0.25">
      <c r="C71" s="11" t="s">
        <v>68</v>
      </c>
      <c r="D71" s="12">
        <v>70</v>
      </c>
    </row>
    <row r="72" spans="3:8" x14ac:dyDescent="0.25">
      <c r="C72" s="11" t="s">
        <v>69</v>
      </c>
      <c r="D72" s="12">
        <v>70</v>
      </c>
    </row>
    <row r="73" spans="3:8" x14ac:dyDescent="0.25">
      <c r="C73" t="s">
        <v>51</v>
      </c>
      <c r="D73">
        <f>D9</f>
        <v>1000</v>
      </c>
      <c r="H73" t="s">
        <v>57</v>
      </c>
    </row>
    <row r="74" spans="3:8" x14ac:dyDescent="0.25">
      <c r="C74" s="7" t="s">
        <v>9</v>
      </c>
      <c r="D74">
        <f>D11</f>
        <v>8</v>
      </c>
    </row>
    <row r="75" spans="3:8" x14ac:dyDescent="0.25">
      <c r="C75" s="7" t="s">
        <v>48</v>
      </c>
      <c r="D75">
        <f>D12</f>
        <v>2</v>
      </c>
    </row>
    <row r="76" spans="3:8" x14ac:dyDescent="0.25">
      <c r="C76" s="7" t="s">
        <v>32</v>
      </c>
      <c r="D76">
        <f>VLOOKUP(D$70,Sheet2!$A$2:$E$3,2,FALSE)</f>
        <v>58.4</v>
      </c>
    </row>
    <row r="77" spans="3:8" x14ac:dyDescent="0.25">
      <c r="C77" s="7" t="s">
        <v>33</v>
      </c>
      <c r="D77">
        <f>VLOOKUP(D$70,Sheet2!$A$2:$E$3,3,FALSE)</f>
        <v>38.4</v>
      </c>
    </row>
    <row r="78" spans="3:8" x14ac:dyDescent="0.25">
      <c r="C78" s="7" t="s">
        <v>34</v>
      </c>
      <c r="D78">
        <f>VLOOKUP(D$70,Sheet2!$A$2:$E$3,5,FALSE)</f>
        <v>4.1582769334507494</v>
      </c>
    </row>
    <row r="79" spans="3:8" x14ac:dyDescent="0.25">
      <c r="C79" s="7" t="s">
        <v>35</v>
      </c>
      <c r="D79">
        <f>VLOOKUP(D$70,Sheet2!$A$2:$E$3,4,FALSE)</f>
        <v>6.5</v>
      </c>
    </row>
    <row r="80" spans="3:8" x14ac:dyDescent="0.25">
      <c r="C80" s="7" t="s">
        <v>61</v>
      </c>
      <c r="D80">
        <f>0.693*5/D85</f>
        <v>90.071985017368704</v>
      </c>
    </row>
    <row r="81" spans="3:94" x14ac:dyDescent="0.25">
      <c r="C81" s="7" t="s">
        <v>45</v>
      </c>
      <c r="D81">
        <f>D78/D76</f>
        <v>7.1203372148129274E-2</v>
      </c>
    </row>
    <row r="82" spans="3:94" x14ac:dyDescent="0.25">
      <c r="C82" s="7" t="s">
        <v>36</v>
      </c>
      <c r="D82">
        <f>D79/D76</f>
        <v>0.1113013698630137</v>
      </c>
    </row>
    <row r="83" spans="3:94" x14ac:dyDescent="0.25">
      <c r="C83" s="7" t="s">
        <v>37</v>
      </c>
      <c r="D83">
        <f>D79/D77</f>
        <v>0.16927083333333334</v>
      </c>
    </row>
    <row r="84" spans="3:94" x14ac:dyDescent="0.25">
      <c r="C84" s="7" t="s">
        <v>46</v>
      </c>
      <c r="D84">
        <f>0.5*((D$81+D$82+D$83)+((((D$81+D$82+D$83)^2)-(4*D$83*D$81)))^0.5)</f>
        <v>0.31330634432517729</v>
      </c>
    </row>
    <row r="85" spans="3:94" x14ac:dyDescent="0.25">
      <c r="C85" s="7" t="s">
        <v>47</v>
      </c>
      <c r="D85">
        <f>0.5*((D$81+D$82+D$83)-((((D$81+D$82+D$83)^2)-(4*D$83*D$81)))^0.5)</f>
        <v>3.8469231019299055E-2</v>
      </c>
    </row>
    <row r="86" spans="3:94" x14ac:dyDescent="0.25">
      <c r="C86" s="7" t="s">
        <v>52</v>
      </c>
      <c r="D86">
        <f>D85-D84</f>
        <v>-0.27483711330587823</v>
      </c>
    </row>
    <row r="87" spans="3:94" x14ac:dyDescent="0.25">
      <c r="C87" t="s">
        <v>27</v>
      </c>
      <c r="D87">
        <f>(1-EXP(-$D84*$D74))</f>
        <v>0.91844280735499395</v>
      </c>
    </row>
    <row r="88" spans="3:94" x14ac:dyDescent="0.25">
      <c r="C88" t="s">
        <v>28</v>
      </c>
      <c r="D88">
        <f>(1-EXP(-D84*D75))</f>
        <v>0.46560108584126203</v>
      </c>
    </row>
    <row r="89" spans="3:94" x14ac:dyDescent="0.25">
      <c r="C89" t="s">
        <v>38</v>
      </c>
      <c r="D89">
        <f>(1-EXP(-D92*$D84*$D74))</f>
        <v>0.91844280735499395</v>
      </c>
    </row>
    <row r="90" spans="3:94" x14ac:dyDescent="0.25">
      <c r="C90" t="s">
        <v>29</v>
      </c>
      <c r="D90">
        <f>(1-EXP(-$D85*$D74))</f>
        <v>0.26490375896268292</v>
      </c>
    </row>
    <row r="91" spans="3:94" x14ac:dyDescent="0.25">
      <c r="C91" t="s">
        <v>30</v>
      </c>
      <c r="D91">
        <f>1-EXP(-D85*D75)</f>
        <v>7.4053167266259323E-2</v>
      </c>
    </row>
    <row r="92" spans="3:94" x14ac:dyDescent="0.25">
      <c r="C92" t="s">
        <v>24</v>
      </c>
      <c r="D92" s="1">
        <v>1</v>
      </c>
      <c r="L92" s="1">
        <v>2</v>
      </c>
      <c r="T92" s="1">
        <v>3</v>
      </c>
      <c r="AB92" s="1">
        <v>4</v>
      </c>
      <c r="AJ92">
        <v>5</v>
      </c>
      <c r="AR92" s="1">
        <v>6</v>
      </c>
      <c r="AZ92" s="1">
        <v>7</v>
      </c>
      <c r="BF92" t="s">
        <v>57</v>
      </c>
      <c r="BH92">
        <v>8</v>
      </c>
      <c r="BP92">
        <v>9</v>
      </c>
      <c r="BX92">
        <v>10</v>
      </c>
      <c r="CF92">
        <v>1000</v>
      </c>
      <c r="CN92">
        <v>1000</v>
      </c>
    </row>
    <row r="93" spans="3:94" x14ac:dyDescent="0.25">
      <c r="C93" t="s">
        <v>7</v>
      </c>
      <c r="D93" s="1">
        <v>0</v>
      </c>
      <c r="E93">
        <v>1</v>
      </c>
      <c r="F93">
        <v>2</v>
      </c>
      <c r="L93" s="1"/>
      <c r="M93">
        <v>1</v>
      </c>
      <c r="N93">
        <v>2</v>
      </c>
      <c r="O93" t="s">
        <v>57</v>
      </c>
      <c r="P93" t="s">
        <v>57</v>
      </c>
      <c r="Q93" t="s">
        <v>57</v>
      </c>
      <c r="R93" t="s">
        <v>57</v>
      </c>
      <c r="S93" t="s">
        <v>57</v>
      </c>
      <c r="T93" s="1" t="s">
        <v>57</v>
      </c>
      <c r="U93">
        <v>1</v>
      </c>
      <c r="V93">
        <v>2</v>
      </c>
      <c r="W93" t="s">
        <v>57</v>
      </c>
      <c r="X93" t="s">
        <v>57</v>
      </c>
      <c r="Y93" t="s">
        <v>57</v>
      </c>
      <c r="Z93" t="s">
        <v>57</v>
      </c>
      <c r="AA93" t="s">
        <v>57</v>
      </c>
      <c r="AB93" s="1" t="s">
        <v>57</v>
      </c>
      <c r="AC93">
        <v>1</v>
      </c>
      <c r="AD93">
        <v>2</v>
      </c>
      <c r="AE93" t="s">
        <v>57</v>
      </c>
      <c r="AF93" t="s">
        <v>57</v>
      </c>
      <c r="AG93" t="s">
        <v>57</v>
      </c>
      <c r="AH93" t="s">
        <v>57</v>
      </c>
      <c r="AI93" t="s">
        <v>57</v>
      </c>
      <c r="AJ93" t="s">
        <v>57</v>
      </c>
      <c r="AK93">
        <v>1</v>
      </c>
      <c r="AL93">
        <v>2</v>
      </c>
      <c r="AM93" t="s">
        <v>57</v>
      </c>
      <c r="AN93" t="s">
        <v>57</v>
      </c>
      <c r="AO93" t="s">
        <v>57</v>
      </c>
      <c r="AP93" t="s">
        <v>57</v>
      </c>
      <c r="AQ93" t="s">
        <v>57</v>
      </c>
      <c r="AR93" s="1" t="s">
        <v>57</v>
      </c>
      <c r="AS93">
        <v>1</v>
      </c>
      <c r="AT93">
        <v>2</v>
      </c>
      <c r="AU93" t="s">
        <v>57</v>
      </c>
      <c r="AV93" t="s">
        <v>57</v>
      </c>
      <c r="AW93" t="s">
        <v>57</v>
      </c>
      <c r="AX93" t="s">
        <v>57</v>
      </c>
      <c r="AY93" t="s">
        <v>57</v>
      </c>
      <c r="AZ93" t="s">
        <v>57</v>
      </c>
      <c r="BA93">
        <v>1</v>
      </c>
      <c r="BB93">
        <v>2</v>
      </c>
      <c r="BI93">
        <v>1</v>
      </c>
      <c r="BJ93">
        <v>2</v>
      </c>
      <c r="BQ93">
        <v>1</v>
      </c>
      <c r="BR93">
        <v>2</v>
      </c>
      <c r="BY93">
        <v>1</v>
      </c>
      <c r="BZ93">
        <v>2</v>
      </c>
      <c r="CG93">
        <v>1</v>
      </c>
      <c r="CH93">
        <v>2</v>
      </c>
      <c r="CO93">
        <v>1</v>
      </c>
      <c r="CP93">
        <v>2</v>
      </c>
    </row>
    <row r="94" spans="3:94" x14ac:dyDescent="0.25">
      <c r="C94" t="s">
        <v>59</v>
      </c>
      <c r="D94">
        <v>0</v>
      </c>
      <c r="E94">
        <v>1</v>
      </c>
      <c r="F94">
        <v>2</v>
      </c>
      <c r="G94">
        <v>3</v>
      </c>
      <c r="H94">
        <v>4</v>
      </c>
      <c r="I94">
        <v>5</v>
      </c>
      <c r="J94">
        <v>6</v>
      </c>
      <c r="K94">
        <v>7</v>
      </c>
      <c r="L94">
        <v>8</v>
      </c>
      <c r="M94">
        <v>9</v>
      </c>
      <c r="N94">
        <v>10</v>
      </c>
      <c r="O94">
        <v>3</v>
      </c>
      <c r="P94">
        <v>4</v>
      </c>
      <c r="Q94">
        <v>5</v>
      </c>
      <c r="R94">
        <v>6</v>
      </c>
      <c r="S94">
        <v>7</v>
      </c>
      <c r="T94">
        <v>8</v>
      </c>
      <c r="U94">
        <v>9</v>
      </c>
      <c r="V94">
        <v>10</v>
      </c>
      <c r="W94">
        <v>3</v>
      </c>
      <c r="X94">
        <v>4</v>
      </c>
      <c r="Y94">
        <v>5</v>
      </c>
      <c r="Z94">
        <v>6</v>
      </c>
      <c r="AA94">
        <v>7</v>
      </c>
      <c r="AB94">
        <v>8</v>
      </c>
      <c r="AC94">
        <v>9</v>
      </c>
      <c r="AD94">
        <v>10</v>
      </c>
      <c r="AE94">
        <v>3</v>
      </c>
      <c r="AF94">
        <v>4</v>
      </c>
      <c r="AG94">
        <v>5</v>
      </c>
      <c r="AH94">
        <v>6</v>
      </c>
      <c r="AI94">
        <v>7</v>
      </c>
      <c r="AJ94">
        <v>8</v>
      </c>
      <c r="AK94">
        <v>9</v>
      </c>
      <c r="AL94">
        <v>10</v>
      </c>
      <c r="AM94">
        <v>3</v>
      </c>
      <c r="AN94">
        <v>4</v>
      </c>
      <c r="AO94">
        <v>5</v>
      </c>
      <c r="AP94">
        <v>6</v>
      </c>
      <c r="AQ94">
        <v>7</v>
      </c>
      <c r="AR94">
        <v>8</v>
      </c>
      <c r="AS94">
        <v>9</v>
      </c>
      <c r="AT94">
        <v>10</v>
      </c>
      <c r="AU94">
        <v>3</v>
      </c>
      <c r="AV94">
        <v>4</v>
      </c>
      <c r="AW94">
        <v>5</v>
      </c>
      <c r="AX94">
        <v>6</v>
      </c>
      <c r="AY94">
        <v>7</v>
      </c>
      <c r="AZ94">
        <v>8</v>
      </c>
      <c r="BA94">
        <v>9</v>
      </c>
      <c r="BB94">
        <v>10</v>
      </c>
      <c r="BC94">
        <v>3</v>
      </c>
      <c r="BD94">
        <v>4</v>
      </c>
      <c r="BE94">
        <v>5</v>
      </c>
      <c r="BF94">
        <v>6</v>
      </c>
      <c r="BG94">
        <v>7</v>
      </c>
      <c r="BH94">
        <v>8</v>
      </c>
      <c r="BI94">
        <v>9</v>
      </c>
      <c r="BJ94">
        <v>10</v>
      </c>
      <c r="BK94">
        <v>3</v>
      </c>
      <c r="BL94">
        <v>4</v>
      </c>
      <c r="BM94">
        <v>5</v>
      </c>
      <c r="BN94">
        <v>6</v>
      </c>
      <c r="BO94">
        <v>7</v>
      </c>
      <c r="BP94">
        <v>8</v>
      </c>
      <c r="BQ94">
        <v>9</v>
      </c>
      <c r="BR94">
        <v>10</v>
      </c>
      <c r="BS94">
        <v>3</v>
      </c>
      <c r="BT94">
        <v>4</v>
      </c>
      <c r="BU94">
        <v>5</v>
      </c>
      <c r="BV94">
        <v>6</v>
      </c>
      <c r="BW94">
        <v>7</v>
      </c>
      <c r="BX94">
        <v>8</v>
      </c>
      <c r="BY94">
        <v>9</v>
      </c>
      <c r="BZ94">
        <v>10</v>
      </c>
      <c r="CA94">
        <v>3</v>
      </c>
      <c r="CB94">
        <v>4</v>
      </c>
      <c r="CC94">
        <v>5</v>
      </c>
      <c r="CD94">
        <v>6</v>
      </c>
      <c r="CE94">
        <v>7</v>
      </c>
      <c r="CF94">
        <v>8</v>
      </c>
      <c r="CG94">
        <v>9</v>
      </c>
      <c r="CH94">
        <v>10</v>
      </c>
      <c r="CI94">
        <v>3</v>
      </c>
      <c r="CJ94">
        <v>4</v>
      </c>
      <c r="CK94">
        <v>5</v>
      </c>
      <c r="CL94">
        <v>6</v>
      </c>
      <c r="CM94">
        <v>7</v>
      </c>
      <c r="CN94">
        <v>8</v>
      </c>
      <c r="CO94">
        <v>9</v>
      </c>
      <c r="CP94">
        <v>10</v>
      </c>
    </row>
    <row r="95" spans="3:94" x14ac:dyDescent="0.25">
      <c r="C95" t="s">
        <v>56</v>
      </c>
      <c r="D95">
        <v>0</v>
      </c>
      <c r="E95">
        <v>1</v>
      </c>
      <c r="F95">
        <v>2</v>
      </c>
      <c r="G95">
        <v>3</v>
      </c>
      <c r="H95">
        <v>4</v>
      </c>
      <c r="I95">
        <v>5</v>
      </c>
      <c r="J95">
        <v>6</v>
      </c>
      <c r="K95">
        <v>7</v>
      </c>
      <c r="L95">
        <v>8</v>
      </c>
      <c r="M95">
        <v>9</v>
      </c>
      <c r="N95">
        <v>10</v>
      </c>
      <c r="O95">
        <v>11</v>
      </c>
      <c r="P95">
        <v>12</v>
      </c>
      <c r="Q95">
        <v>13</v>
      </c>
      <c r="R95">
        <v>14</v>
      </c>
      <c r="S95">
        <v>15</v>
      </c>
      <c r="T95">
        <v>16</v>
      </c>
      <c r="U95">
        <v>17</v>
      </c>
      <c r="V95">
        <v>18</v>
      </c>
      <c r="W95">
        <v>19</v>
      </c>
      <c r="X95">
        <v>20</v>
      </c>
      <c r="Y95">
        <v>21</v>
      </c>
      <c r="Z95">
        <v>22</v>
      </c>
      <c r="AA95">
        <v>23</v>
      </c>
      <c r="AB95">
        <v>24</v>
      </c>
      <c r="AC95">
        <v>25</v>
      </c>
      <c r="AD95">
        <v>26</v>
      </c>
      <c r="AE95">
        <v>27</v>
      </c>
      <c r="AF95">
        <v>28</v>
      </c>
      <c r="AG95">
        <v>29</v>
      </c>
      <c r="AH95">
        <v>30</v>
      </c>
      <c r="AI95">
        <v>31</v>
      </c>
      <c r="AJ95">
        <v>32</v>
      </c>
      <c r="AK95">
        <v>33</v>
      </c>
      <c r="AL95">
        <v>34</v>
      </c>
      <c r="AM95">
        <v>35</v>
      </c>
      <c r="AN95">
        <v>36</v>
      </c>
      <c r="AO95">
        <v>37</v>
      </c>
      <c r="AP95">
        <v>38</v>
      </c>
      <c r="AQ95">
        <v>39</v>
      </c>
      <c r="AR95">
        <v>40</v>
      </c>
      <c r="AS95">
        <v>41</v>
      </c>
      <c r="AT95">
        <v>42</v>
      </c>
      <c r="AU95">
        <v>43</v>
      </c>
      <c r="AV95">
        <v>44</v>
      </c>
      <c r="AW95">
        <v>45</v>
      </c>
      <c r="AX95">
        <v>46</v>
      </c>
      <c r="AY95">
        <v>47</v>
      </c>
      <c r="AZ95">
        <v>48</v>
      </c>
      <c r="BA95">
        <v>49</v>
      </c>
      <c r="BB95">
        <v>50</v>
      </c>
      <c r="BC95">
        <v>51</v>
      </c>
      <c r="BD95">
        <v>52</v>
      </c>
      <c r="BE95">
        <v>53</v>
      </c>
      <c r="BF95">
        <v>54</v>
      </c>
      <c r="BG95">
        <v>55</v>
      </c>
      <c r="BH95">
        <v>56</v>
      </c>
      <c r="BI95">
        <v>57</v>
      </c>
      <c r="BJ95">
        <v>58</v>
      </c>
      <c r="BK95">
        <v>59</v>
      </c>
      <c r="BL95">
        <v>60</v>
      </c>
      <c r="BM95">
        <v>61</v>
      </c>
      <c r="BN95">
        <v>62</v>
      </c>
      <c r="BO95">
        <v>63</v>
      </c>
      <c r="BP95">
        <v>64</v>
      </c>
      <c r="BQ95">
        <v>65</v>
      </c>
      <c r="BR95">
        <v>66</v>
      </c>
      <c r="BS95">
        <v>67</v>
      </c>
      <c r="BT95">
        <v>68</v>
      </c>
      <c r="BU95">
        <v>69</v>
      </c>
      <c r="BV95">
        <v>70</v>
      </c>
      <c r="BW95">
        <v>71</v>
      </c>
      <c r="BX95">
        <v>72</v>
      </c>
      <c r="BY95">
        <v>73</v>
      </c>
      <c r="BZ95">
        <v>74</v>
      </c>
      <c r="CA95">
        <v>75</v>
      </c>
      <c r="CB95">
        <v>76</v>
      </c>
      <c r="CC95">
        <v>77</v>
      </c>
      <c r="CD95">
        <v>78</v>
      </c>
      <c r="CE95">
        <v>79</v>
      </c>
      <c r="CF95">
        <v>80</v>
      </c>
      <c r="CG95">
        <v>81</v>
      </c>
      <c r="CH95">
        <v>82</v>
      </c>
      <c r="CI95">
        <v>83</v>
      </c>
      <c r="CJ95">
        <v>84</v>
      </c>
      <c r="CK95">
        <v>85</v>
      </c>
      <c r="CL95">
        <v>86</v>
      </c>
      <c r="CM95">
        <v>87</v>
      </c>
      <c r="CN95">
        <v>88</v>
      </c>
      <c r="CO95">
        <v>89</v>
      </c>
    </row>
    <row r="96" spans="3:94" x14ac:dyDescent="0.25">
      <c r="C96" t="s">
        <v>50</v>
      </c>
      <c r="F96">
        <f>(1-EXP(-D92*$D84*$D74))</f>
        <v>0.91844280735499395</v>
      </c>
      <c r="N96">
        <f>(1-EXP(-L92*$D84*$D74))</f>
        <v>0.99334842432786541</v>
      </c>
      <c r="V96">
        <f>(1-EXP(-T92*$D84*$D74))</f>
        <v>0.9994575161615149</v>
      </c>
      <c r="AD96">
        <f>(1-EXP(-AB92*$D84*$D74))</f>
        <v>0.99995575654107782</v>
      </c>
      <c r="AL96">
        <f>(1-EXP(-AJ92*$D84*$D74))</f>
        <v>0.99999639162769738</v>
      </c>
      <c r="AT96">
        <f>(1-EXP(-AR92*$D84*$D74))</f>
        <v>0.99999970571128494</v>
      </c>
      <c r="BB96">
        <f>(1-EXP(-AZ92*$D84*$D74))</f>
        <v>0.99999997599863855</v>
      </c>
      <c r="BJ96">
        <f>(1-EXP(-BH92*$D84*$D74))</f>
        <v>0.99999999804251638</v>
      </c>
      <c r="BR96">
        <f>(1-EXP(-BP92*$D84*$D74))</f>
        <v>0.99999999984035315</v>
      </c>
      <c r="BZ96">
        <f>(1-EXP(-BX92*$D84*$D74))</f>
        <v>0.99999999998697964</v>
      </c>
      <c r="CH96">
        <f>(1-EXP(-CF92*$D84*$D74))</f>
        <v>1</v>
      </c>
      <c r="CP96">
        <f>(1-EXP(-CN92*$D84*$D74))</f>
        <v>1</v>
      </c>
    </row>
    <row r="97" spans="3:94" x14ac:dyDescent="0.25">
      <c r="C97" t="s">
        <v>49</v>
      </c>
      <c r="F97">
        <f>1-EXP(-D92*$D85*$D74)</f>
        <v>0.26490375896268292</v>
      </c>
      <c r="N97">
        <f>1-EXP(-L92*$D85*$D74)</f>
        <v>0.4596335164128067</v>
      </c>
      <c r="V97">
        <f>1-EXP(-T92*$D85*$D74)</f>
        <v>0.60277862913250102</v>
      </c>
      <c r="AD97">
        <f>1-EXP(-AB92*$D85*$D74)</f>
        <v>0.70800406341561151</v>
      </c>
      <c r="AL97">
        <f>1-EXP(-AJ92*$D85*$D74)</f>
        <v>0.78535488461864522</v>
      </c>
      <c r="AT97">
        <f>1-EXP(-AR92*$D85*$D74)</f>
        <v>0.84221518252614491</v>
      </c>
      <c r="BB97">
        <f>1-EXP(-AZ92*$D85*$D74)</f>
        <v>0.88401297378220989</v>
      </c>
      <c r="BJ97">
        <f>1-EXP(-BH92*$D85*$D74)</f>
        <v>0.91473837301820582</v>
      </c>
      <c r="BR97">
        <f>1-EXP(-BP92*$D85*$D74)</f>
        <v>0.93732449850095723</v>
      </c>
      <c r="BZ97">
        <f>1-EXP(-BX92*$D85*$D74)</f>
        <v>0.95392747444292492</v>
      </c>
      <c r="CH97">
        <f>1-EXP(-CF92*$D85*$D74)</f>
        <v>1</v>
      </c>
      <c r="CP97">
        <f>1-EXP(-CN92*$D85*$D74)</f>
        <v>1</v>
      </c>
    </row>
    <row r="98" spans="3:94" x14ac:dyDescent="0.25">
      <c r="C98" t="s">
        <v>54</v>
      </c>
      <c r="F98">
        <f>($D$73/($D$75*$D$76*($D$85-$D$84)))*(((($D$83-$D$84)*$D$88/$D$84)*F96/$D$87)+((($D$85-$D$83)*$D$91/$D$85)*F97/$D$90))</f>
        <v>14.51178087359791</v>
      </c>
      <c r="N98">
        <f>($D73/($D75*$D76*($D85-$D84)))*(((($D83-$D84)*$D88/$D84)*N96/$D87)+((($D85-$D83)*$D91/$D85)*N97/$D90))</f>
        <v>20.821532444586879</v>
      </c>
      <c r="V98">
        <f>($D73/($D75*$D76*($D85-$D84)))*(((($D83-$D84)*$D88/$D84)*V96/$D87)+((($D85-$D83)*$D91/$D85)*V97/$D90))</f>
        <v>25.104396845967059</v>
      </c>
      <c r="AD98">
        <f>($D73/($D75*$D76*($D85-$D84)))*(((($D83-$D84)*$D88/$D84)*AD96/$D87)+((($D85-$D83)*$D91/$D85)*AD97/$D90))</f>
        <v>28.223728105224176</v>
      </c>
      <c r="AL98">
        <f>($D73/($D75*$D76*($D85-$D84)))*(((($D83-$D84)*$D88/$D84)*AL96/$D87)+((($D85-$D83)*$D91/$D85)*AL97/$D90))</f>
        <v>30.514372750213024</v>
      </c>
      <c r="AT98">
        <f>($D73/($D75*$D76*($D85-$D84)))*(((($D83-$D84)*$D88/$D84)*AT96/$D87)+((($D85-$D83)*$D91/$D85)*AT97/$D90))</f>
        <v>32.198024213974321</v>
      </c>
      <c r="BB98">
        <f>($D73/($D75*$D76*($D85-$D84)))*(((($D83-$D84)*$D88/$D84)*BB96/$D87)+((($D85-$D83)*$D91/$D85)*BB97/$D90))</f>
        <v>33.435654351622972</v>
      </c>
      <c r="BJ98">
        <f>($D73/($D75*$D76*($D85-$D84)))*(((($D83-$D84)*$D88/$D84)*BJ96/$D87)+((($D85-$D83)*$D91/$D85)*BJ97/$D90))</f>
        <v>34.345430331150453</v>
      </c>
      <c r="BR98">
        <f>($D73/($D75*$D76*($D85-$D84)))*(((($D83-$D84)*$D88/$D84)*BR96/$D87)+((($D85-$D83)*$D91/$D85)*BR97/$D90))</f>
        <v>35.014203129293925</v>
      </c>
      <c r="BZ98">
        <f>($D73/($D75*$D76*($D85-$D84)))*(((($D83-$D84)*$D88/$D84)*BZ96/$D87)+((($D85-$D83)*$D91/$D85)*BZ97/$D90))</f>
        <v>35.505815490786873</v>
      </c>
      <c r="CH98">
        <f>($D73/($D75*$D76*($D85-$D84)))*(((($D83-$D84)*$D88/$D84)*CH96/$D87)+((($D85-$D83)*$D91/$D85)*CH97/$D90))</f>
        <v>36.870018096437164</v>
      </c>
      <c r="CP98">
        <f>($D73/($D75*$D76*($D85-$D84)))*(((($D83-$D84)*$D88/$D84)*CP96/$D87)+((($D85-$D83)*$D91/$D85)*CP97/$D90))</f>
        <v>36.870018096437164</v>
      </c>
    </row>
    <row r="99" spans="3:94" x14ac:dyDescent="0.25">
      <c r="C99" t="s">
        <v>55</v>
      </c>
      <c r="G99">
        <f t="shared" ref="G99:N99" si="24">($D$73/($D$75*$D$76*($D$85-$D$84)))*(((($D$83-$D$84)*$D$88/$D$84)*(EXP(-$D$84*(G$94-$D$75)))*$F$96/$D$87)+((($D$85-$D$83)*$D$91/$D$85)*(EXP(-$D$85*(G$94-$D$75)))*$F$97/$D$90))</f>
        <v>12.422245803484431</v>
      </c>
      <c r="H99">
        <f t="shared" si="24"/>
        <v>10.826292645967493</v>
      </c>
      <c r="I99">
        <f t="shared" si="24"/>
        <v>9.5937438356196125</v>
      </c>
      <c r="J99">
        <f t="shared" si="24"/>
        <v>8.629338710852446</v>
      </c>
      <c r="K99">
        <f t="shared" si="24"/>
        <v>7.8633454512424272</v>
      </c>
      <c r="L99">
        <f t="shared" si="24"/>
        <v>7.2446980214192385</v>
      </c>
      <c r="M99">
        <f t="shared" si="24"/>
        <v>6.7359789654713147</v>
      </c>
      <c r="N99">
        <f t="shared" si="24"/>
        <v>6.3097515709889631</v>
      </c>
      <c r="O99">
        <f t="shared" ref="O99:V99" si="25">($D$73/($D$75*$D$76*($D$85-$D$84)))*(((($D$83-$D$84)*$D$88/$D$84)*(EXP(-$D$84*(O$94-$D$75)))*$N$96/$D$87)+((($D$85-$D$83)*$D$91/$D$85)*(EXP(-$D$85*(O$94-$D$75)))*$N$97/$D$90))</f>
        <v>18.368124265641271</v>
      </c>
      <c r="P99">
        <f t="shared" si="25"/>
        <v>16.455853948698216</v>
      </c>
      <c r="Q99">
        <f t="shared" si="25"/>
        <v>14.943651489151939</v>
      </c>
      <c r="R99">
        <f t="shared" si="25"/>
        <v>13.728221908742535</v>
      </c>
      <c r="S99">
        <f t="shared" si="25"/>
        <v>12.733891136444138</v>
      </c>
      <c r="T99">
        <f t="shared" si="25"/>
        <v>11.905182843171319</v>
      </c>
      <c r="U99">
        <f t="shared" si="25"/>
        <v>11.201391683638606</v>
      </c>
      <c r="V99">
        <f t="shared" si="25"/>
        <v>10.592615972369151</v>
      </c>
      <c r="W99">
        <f t="shared" ref="W99:AD99" si="26">($D$73/($D$75*$D$76*($D$85-$D$84)))*(((($D$83-$D$84)*$D$88/$D$84)*(EXP(-$D$84*(W$94-$D$75)))*$V$96/$D$87)+((($D$85-$D$83)*$D$91/$D$85)*(EXP(-$D$85*(W$94-$D$75)))*$V$97/$D$90))</f>
        <v>22.479103055815798</v>
      </c>
      <c r="X99">
        <f t="shared" si="26"/>
        <v>20.404192443821813</v>
      </c>
      <c r="Y99">
        <f t="shared" si="26"/>
        <v>18.737504113140812</v>
      </c>
      <c r="Z99">
        <f t="shared" si="26"/>
        <v>17.374892937145408</v>
      </c>
      <c r="AA99">
        <f t="shared" si="26"/>
        <v>16.24001267444817</v>
      </c>
      <c r="AB99">
        <f t="shared" si="26"/>
        <v>15.276846845108553</v>
      </c>
      <c r="AC99">
        <f t="shared" si="26"/>
        <v>14.444248303444644</v>
      </c>
      <c r="AD99">
        <f t="shared" si="26"/>
        <v>13.711947231626262</v>
      </c>
      <c r="AE99">
        <f t="shared" ref="AE99:AL99" si="27">($D$73/($D$75*$D$76*($D$85-$D$84)))*(((($D$83-$D$84)*$D$88/$D$84)*(EXP(-$D$84*(AE$94-$D$75)))*$AD$96/$D$87)+((($D$85-$D$83)*$D$91/$D$85)*(EXP(-$D$85*(AE$94-$D$75)))*$AD$97/$D$90))</f>
        <v>25.479878401463402</v>
      </c>
      <c r="AF99">
        <f t="shared" si="27"/>
        <v>23.291111002419989</v>
      </c>
      <c r="AG99">
        <f t="shared" si="27"/>
        <v>21.515027158072552</v>
      </c>
      <c r="AH99">
        <f t="shared" si="27"/>
        <v>20.047269141662568</v>
      </c>
      <c r="AI99">
        <f t="shared" si="27"/>
        <v>18.811298033669075</v>
      </c>
      <c r="AJ99">
        <f t="shared" si="27"/>
        <v>17.750920645731068</v>
      </c>
      <c r="AK99">
        <f t="shared" si="27"/>
        <v>16.82482615116788</v>
      </c>
      <c r="AL99">
        <f t="shared" si="27"/>
        <v>16.002591876615114</v>
      </c>
      <c r="AM99">
        <f t="shared" ref="AM99:AT99" si="28">($D$73/($D$75*$D$76*($D$85-$D$84)))*(((($D$83-$D$84)*$D$88/$D$84)*(EXP(-$D$84*(AM$94-$D$75)))*$AL$96/$D$87)+((($D$85-$D$83)*$D$91/$D$85)*(EXP(-$D$85*(AM$94-$D$75)))*$AL$97/$D$90))</f>
        <v>27.684008904986353</v>
      </c>
      <c r="AN99">
        <f t="shared" si="28"/>
        <v>25.412010643557217</v>
      </c>
      <c r="AO99">
        <f t="shared" si="28"/>
        <v>23.555850373882745</v>
      </c>
      <c r="AP99">
        <f t="shared" si="28"/>
        <v>22.011047717000178</v>
      </c>
      <c r="AQ99">
        <f t="shared" si="28"/>
        <v>20.700946700346009</v>
      </c>
      <c r="AR99">
        <f t="shared" si="28"/>
        <v>19.569242209353323</v>
      </c>
      <c r="AS99">
        <f t="shared" si="28"/>
        <v>18.574516233679603</v>
      </c>
      <c r="AT99">
        <f t="shared" si="28"/>
        <v>17.686243340376411</v>
      </c>
      <c r="AU99">
        <f t="shared" ref="AU99:BB99" si="29">($D$73/($D$75*$D$76*($D$85-$D$84)))*(((($D$83-$D$84)*$D$88/$D$84)*(EXP(-$D$84*(AU$94-$D$75)))*$AT$96/$D$87)+((($D$85-$D$83)*$D$91/$D$85)*(EXP(-$D$85*(AU$94-$D$75)))*$AT$97/$D$90))</f>
        <v>29.304116007922268</v>
      </c>
      <c r="AV99">
        <f t="shared" si="29"/>
        <v>26.970972962954125</v>
      </c>
      <c r="AW99">
        <f t="shared" si="29"/>
        <v>25.0559765276132</v>
      </c>
      <c r="AX99">
        <f t="shared" si="29"/>
        <v>23.454558904478048</v>
      </c>
      <c r="AY99">
        <f t="shared" si="29"/>
        <v>22.089980080729866</v>
      </c>
      <c r="AZ99">
        <f t="shared" si="29"/>
        <v>20.905854130972727</v>
      </c>
      <c r="BA99">
        <f t="shared" si="29"/>
        <v>19.860685326025003</v>
      </c>
      <c r="BB99">
        <f t="shared" si="29"/>
        <v>18.923873478025065</v>
      </c>
      <c r="BC99">
        <f t="shared" ref="BC99:BJ99" si="30">($D$73/($D$75*$D$76*($D$85-$D$84)))*(((($D$83-$D$84)*$D$88/$D$84)*(EXP(-$D$84*(BC$94-$D$75)))*$BB$96/$D$87)+((($D$85-$D$83)*$D$91/$D$85)*(EXP(-$D$85*(BC$94-$D$75)))*$BB$97/$D$90))</f>
        <v>30.495039154293103</v>
      </c>
      <c r="BD99">
        <f t="shared" si="30"/>
        <v>28.116951900663533</v>
      </c>
      <c r="BE99">
        <f t="shared" si="30"/>
        <v>26.158707481346507</v>
      </c>
      <c r="BF99">
        <f t="shared" si="30"/>
        <v>24.515674061628417</v>
      </c>
      <c r="BG99">
        <f t="shared" si="30"/>
        <v>23.111050014536534</v>
      </c>
      <c r="BH99">
        <f t="shared" si="30"/>
        <v>21.888390130477028</v>
      </c>
      <c r="BI99">
        <f t="shared" si="30"/>
        <v>20.806141636827675</v>
      </c>
      <c r="BJ99">
        <f t="shared" si="30"/>
        <v>19.833649457552543</v>
      </c>
      <c r="BK99">
        <f t="shared" ref="BK99:BR99" si="31">($D$73/($D$75*$D$76*($D$85-$D$84)))*(((($D$83-$D$84)*$D$88/$D$84)*(EXP(-$D$84*(BK$94-$D$75)))*$BJ$96/$D$87)+((($D$85-$D$83)*$D$91/$D$85)*(EXP(-$D$85*(BK$94-$D$75)))*$BJ$97/$D$90))</f>
        <v>31.370481345048582</v>
      </c>
      <c r="BL99">
        <f t="shared" si="31"/>
        <v>28.959356024740416</v>
      </c>
      <c r="BM99">
        <f t="shared" si="31"/>
        <v>26.96932035930914</v>
      </c>
      <c r="BN99">
        <f t="shared" si="31"/>
        <v>25.295695458711755</v>
      </c>
      <c r="BO99">
        <f t="shared" si="31"/>
        <v>23.861634416979001</v>
      </c>
      <c r="BP99">
        <f t="shared" si="31"/>
        <v>22.610648454675221</v>
      </c>
      <c r="BQ99">
        <f t="shared" si="31"/>
        <v>21.501142873886423</v>
      </c>
      <c r="BR99">
        <f t="shared" si="31"/>
        <v>20.502422255696015</v>
      </c>
      <c r="BS99">
        <f t="shared" ref="BS99:BZ99" si="32">($D$73/($D$75*$D$76*($D$85-$D$84)))*(((($D$83-$D$84)*$D$88/$D$84)*(EXP(-$D$84*(BS$94-$D$75)))*$BR$96/$D$87)+((($D$85-$D$83)*$D$91/$D$85)*(EXP(-$D$85*(BS$94-$D$75)))*$BR$97/$D$90))</f>
        <v>32.014015532258036</v>
      </c>
      <c r="BT99">
        <f t="shared" si="32"/>
        <v>29.578604073889153</v>
      </c>
      <c r="BU99">
        <f t="shared" si="32"/>
        <v>27.565198797975576</v>
      </c>
      <c r="BV99">
        <f t="shared" si="32"/>
        <v>25.869086225766438</v>
      </c>
      <c r="BW99">
        <f t="shared" si="32"/>
        <v>24.413386167959974</v>
      </c>
      <c r="BX99">
        <f t="shared" si="32"/>
        <v>23.141577817888749</v>
      </c>
      <c r="BY99">
        <f t="shared" si="32"/>
        <v>22.012035659095606</v>
      </c>
      <c r="BZ99">
        <f t="shared" si="32"/>
        <v>20.994034617188955</v>
      </c>
      <c r="CA99">
        <f t="shared" ref="CA99:CH99" si="33">($D$73/($D$75*$D$76*($D$85-$D$84)))*(((($D$83-$D$84)*$D$88/$D$84)*(EXP(-$D$84*(CA$94-$D$75)))*$BZ$96/$D$87)+((($D$85-$D$83)*$D$91/$D$85)*(EXP(-$D$85*(CA$94-$D$75)))*$BZ$97/$D$90))</f>
        <v>32.48707508801882</v>
      </c>
      <c r="CB99">
        <f t="shared" si="33"/>
        <v>30.033810982529481</v>
      </c>
      <c r="CC99">
        <f t="shared" si="33"/>
        <v>28.003226795022002</v>
      </c>
      <c r="CD99">
        <f t="shared" si="33"/>
        <v>26.290583620837726</v>
      </c>
      <c r="CE99">
        <f t="shared" si="33"/>
        <v>24.818976804310982</v>
      </c>
      <c r="CF99">
        <f t="shared" si="33"/>
        <v>23.531861995741494</v>
      </c>
      <c r="CG99">
        <f t="shared" si="33"/>
        <v>22.387591024124269</v>
      </c>
      <c r="CH99">
        <f t="shared" si="33"/>
        <v>21.355417015474185</v>
      </c>
      <c r="CI99">
        <f t="shared" ref="CI99:CP99" si="34">($D$73/($D$75*$D$76*($D$85-$D$84)))*(((($D$83-$D$84)*$D$88/$D$84)*(EXP(-$D$84*(CI$94-$D$75)))*$CH$96/$D$87)+((($D$85-$D$83)*$D$91/$D$85)*(EXP(-$D$85*(CI$94-$D$75)))*$CH$97/$D$90))</f>
        <v>33.799794477258516</v>
      </c>
      <c r="CJ99">
        <f t="shared" si="34"/>
        <v>31.296990064401477</v>
      </c>
      <c r="CK99">
        <f t="shared" si="34"/>
        <v>29.218735155729611</v>
      </c>
      <c r="CL99">
        <f t="shared" si="34"/>
        <v>27.460220290852838</v>
      </c>
      <c r="CM99">
        <f t="shared" si="34"/>
        <v>25.944472921055116</v>
      </c>
      <c r="CN99">
        <f t="shared" si="34"/>
        <v>24.614883365780656</v>
      </c>
      <c r="CO99">
        <f t="shared" si="34"/>
        <v>23.429740588669894</v>
      </c>
      <c r="CP99">
        <f t="shared" si="34"/>
        <v>22.358237222839254</v>
      </c>
    </row>
    <row r="100" spans="3:94" x14ac:dyDescent="0.25">
      <c r="C100" t="s">
        <v>17</v>
      </c>
      <c r="E100">
        <f>($D$73/($D$75*$D$76*($D$85-$D$84)))*(((($D$83-$D$84)*(1-EXP(-$D$84*E93))/$D$84))+((($D$85-$D$83)*(1-EXP(-$D$85*E93))/$D$85)))</f>
        <v>7.8493686747589955</v>
      </c>
      <c r="F100">
        <f>($D$73/($D$75*$D$76*($D$85-$D$84)))*(((($D$83-$D$84)*(1-EXP(-$D$84*F93))/$D$84))+((($D$85-$D$83)*(1-EXP(-$D$85*F93))/$D$85)))</f>
        <v>14.51178087359791</v>
      </c>
      <c r="M100">
        <f>($D$73/($D$75*$D$76*($D$85-$D$84)))*(((($D$83-$D$84)*(1-EXP(-$D$84*M93))/$D$84))+((($D$85-$D$83)*(1-EXP(-$D$85*M93))/$D$85)))</f>
        <v>7.8493686747589955</v>
      </c>
      <c r="N100">
        <f>($D$73/($D$75*$D$76*($D$85-$D$84)))*(((($D$83-$D$84)*(1-EXP(-$D$84*N93))/$D$84))+((($D$85-$D$83)*(1-EXP(-$D$85*N93))/$D$85)))</f>
        <v>14.51178087359791</v>
      </c>
      <c r="U100">
        <f>($D$73/($D$75*$D$76*($D$85-$D$84)))*(((($D$83-$D$84)*(1-EXP(-$D$84*U93))/$D$84))+((($D$85-$D$83)*(1-EXP(-$D$85*U93))/$D$85)))</f>
        <v>7.8493686747589955</v>
      </c>
      <c r="V100">
        <f>($D$73/($D$75*$D$76*($D$85-$D$84)))*(((($D$83-$D$84)*(1-EXP(-$D$84*V93))/$D$84))+((($D$85-$D$83)*(1-EXP(-$D$85*V93))/$D$85)))</f>
        <v>14.51178087359791</v>
      </c>
      <c r="AC100">
        <f>($D$73/($D$75*$D$76*($D$85-$D$84)))*(((($D$83-$D$84)*(1-EXP(-$D$84*AC93))/$D$84))+((($D$85-$D$83)*(1-EXP(-$D$85*AC93))/$D$85)))</f>
        <v>7.8493686747589955</v>
      </c>
      <c r="AD100">
        <f>($D$73/($D$75*$D$76*($D$85-$D$84)))*(((($D$83-$D$84)*(1-EXP(-$D$84*AD93))/$D$84))+((($D$85-$D$83)*(1-EXP(-$D$85*AD93))/$D$85)))</f>
        <v>14.51178087359791</v>
      </c>
      <c r="AK100">
        <f>($D$73/($D$75*$D$76*($D$85-$D$84)))*(((($D$83-$D$84)*(1-EXP(-$D$84*AK93))/$D$84))+((($D$85-$D$83)*(1-EXP(-$D$85*AK93))/$D$85)))</f>
        <v>7.8493686747589955</v>
      </c>
      <c r="AL100">
        <f>($D$73/($D$75*$D$76*($D$85-$D$84)))*(((($D$83-$D$84)*(1-EXP(-$D$84*AL93))/$D$84))+((($D$85-$D$83)*(1-EXP(-$D$85*AL93))/$D$85)))</f>
        <v>14.51178087359791</v>
      </c>
      <c r="AS100">
        <f>($D$73/($D$75*$D$76*($D$85-$D$84)))*(((($D$83-$D$84)*(1-EXP(-$D$84*AS93))/$D$84))+((($D$85-$D$83)*(1-EXP(-$D$85*AS93))/$D$85)))</f>
        <v>7.8493686747589955</v>
      </c>
      <c r="AT100">
        <f>($D$73/($D$75*$D$76*($D$85-$D$84)))*(((($D$83-$D$84)*(1-EXP(-$D$84*AT93))/$D$84))+((($D$85-$D$83)*(1-EXP(-$D$85*AT93))/$D$85)))</f>
        <v>14.51178087359791</v>
      </c>
      <c r="BA100">
        <f>($D$73/($D$75*$D$76*($D$85-$D$84)))*(((($D$83-$D$84)*(1-EXP(-$D$84*BA93))/$D$84))+((($D$85-$D$83)*(1-EXP(-$D$85*BA93))/$D$85)))</f>
        <v>7.8493686747589955</v>
      </c>
      <c r="BB100">
        <f>($D$73/($D$75*$D$76*($D$85-$D$84)))*(((($D$83-$D$84)*(1-EXP(-$D$84*BB93))/$D$84))+((($D$85-$D$83)*(1-EXP(-$D$85*BB93))/$D$85)))</f>
        <v>14.51178087359791</v>
      </c>
      <c r="BI100">
        <f>($D$73/($D$75*$D$76*($D$85-$D$84)))*(((($D$83-$D$84)*(1-EXP(-$D$84*BI93))/$D$84))+((($D$85-$D$83)*(1-EXP(-$D$85*BI93))/$D$85)))</f>
        <v>7.8493686747589955</v>
      </c>
      <c r="BJ100">
        <f>($D$73/($D$75*$D$76*($D$85-$D$84)))*(((($D$83-$D$84)*(1-EXP(-$D$84*BJ93))/$D$84))+((($D$85-$D$83)*(1-EXP(-$D$85*BJ93))/$D$85)))</f>
        <v>14.51178087359791</v>
      </c>
      <c r="BQ100">
        <f>($D$73/($D$75*$D$76*($D$85-$D$84)))*(((($D$83-$D$84)*(1-EXP(-$D$84*BQ93))/$D$84))+((($D$85-$D$83)*(1-EXP(-$D$85*BQ93))/$D$85)))</f>
        <v>7.8493686747589955</v>
      </c>
      <c r="BR100">
        <f>($D$73/($D$75*$D$76*($D$85-$D$84)))*(((($D$83-$D$84)*(1-EXP(-$D$84*BR93))/$D$84))+((($D$85-$D$83)*(1-EXP(-$D$85*BR93))/$D$85)))</f>
        <v>14.51178087359791</v>
      </c>
      <c r="BY100">
        <f>($D$73/($D$75*$D$76*($D$85-$D$84)))*(((($D$83-$D$84)*(1-EXP(-$D$84*BY93))/$D$84))+((($D$85-$D$83)*(1-EXP(-$D$85*BY93))/$D$85)))</f>
        <v>7.8493686747589955</v>
      </c>
      <c r="BZ100">
        <f>($D$73/($D$75*$D$76*($D$85-$D$84)))*(((($D$83-$D$84)*(1-EXP(-$D$84*BZ93))/$D$84))+((($D$85-$D$83)*(1-EXP(-$D$85*BZ93))/$D$85)))</f>
        <v>14.51178087359791</v>
      </c>
      <c r="CG100">
        <f>($D$73/($D$75*$D$76*($D$85-$D$84)))*(((($D$83-$D$84)*(1-EXP(-$D$84*CG93))/$D$84))+((($D$85-$D$83)*(1-EXP(-$D$85*CG93))/$D$85)))</f>
        <v>7.8493686747589955</v>
      </c>
      <c r="CH100">
        <f>($D$73/($D$75*$D$76*($D$85-$D$84)))*(((($D$83-$D$84)*(1-EXP(-$D$84*CH93))/$D$84))+((($D$85-$D$83)*(1-EXP(-$D$85*CH93))/$D$85)))</f>
        <v>14.51178087359791</v>
      </c>
      <c r="CO100">
        <f>($D$73/($D$75*$D$76*($D$85-$D$84)))*(((($D$83-$D$84)*(1-EXP(-$D$84*CO93))/$D$84))+((($D$85-$D$83)*(1-EXP(-$D$85*CO93))/$D$85)))</f>
        <v>7.8493686747589955</v>
      </c>
      <c r="CP100">
        <f>($D$73/($D$75*$D$76*($D$85-$D$84)))*(((($D$83-$D$84)*(1-EXP(-$D$84*CP93))/$D$84))+((($D$85-$D$83)*(1-EXP(-$D$85*CP93))/$D$85)))</f>
        <v>14.51178087359791</v>
      </c>
    </row>
    <row r="101" spans="3:94" x14ac:dyDescent="0.25">
      <c r="C101" t="s">
        <v>58</v>
      </c>
      <c r="E101">
        <f>SUM(E99:E100)</f>
        <v>7.8493686747589955</v>
      </c>
      <c r="F101">
        <f>SUM(F99:F100)</f>
        <v>14.51178087359791</v>
      </c>
      <c r="G101">
        <f t="shared" ref="G101:AY101" si="35">SUM(G99:G100)</f>
        <v>12.422245803484431</v>
      </c>
      <c r="H101">
        <f t="shared" si="35"/>
        <v>10.826292645967493</v>
      </c>
      <c r="I101">
        <f t="shared" si="35"/>
        <v>9.5937438356196125</v>
      </c>
      <c r="J101">
        <f t="shared" si="35"/>
        <v>8.629338710852446</v>
      </c>
      <c r="K101">
        <f t="shared" si="35"/>
        <v>7.8633454512424272</v>
      </c>
      <c r="L101">
        <f t="shared" si="35"/>
        <v>7.2446980214192385</v>
      </c>
      <c r="M101">
        <f t="shared" si="35"/>
        <v>14.58534764023031</v>
      </c>
      <c r="N101">
        <f t="shared" si="35"/>
        <v>20.821532444586872</v>
      </c>
      <c r="O101">
        <f t="shared" si="35"/>
        <v>18.368124265641271</v>
      </c>
      <c r="P101">
        <f t="shared" si="35"/>
        <v>16.455853948698216</v>
      </c>
      <c r="Q101">
        <f t="shared" si="35"/>
        <v>14.943651489151939</v>
      </c>
      <c r="R101">
        <f t="shared" si="35"/>
        <v>13.728221908742535</v>
      </c>
      <c r="S101">
        <f t="shared" si="35"/>
        <v>12.733891136444138</v>
      </c>
      <c r="T101">
        <f t="shared" si="35"/>
        <v>11.905182843171319</v>
      </c>
      <c r="U101">
        <f t="shared" si="35"/>
        <v>19.050760358397604</v>
      </c>
      <c r="V101">
        <f t="shared" si="35"/>
        <v>25.104396845967059</v>
      </c>
      <c r="W101">
        <f t="shared" si="35"/>
        <v>22.479103055815798</v>
      </c>
      <c r="X101">
        <f t="shared" si="35"/>
        <v>20.404192443821813</v>
      </c>
      <c r="Y101">
        <f t="shared" si="35"/>
        <v>18.737504113140812</v>
      </c>
      <c r="Z101">
        <f t="shared" si="35"/>
        <v>17.374892937145408</v>
      </c>
      <c r="AA101">
        <f t="shared" si="35"/>
        <v>16.24001267444817</v>
      </c>
      <c r="AB101">
        <f t="shared" si="35"/>
        <v>15.276846845108553</v>
      </c>
      <c r="AC101">
        <f t="shared" si="35"/>
        <v>22.293616978203637</v>
      </c>
      <c r="AD101">
        <f t="shared" si="35"/>
        <v>28.223728105224172</v>
      </c>
      <c r="AE101">
        <f t="shared" si="35"/>
        <v>25.479878401463402</v>
      </c>
      <c r="AF101">
        <f t="shared" si="35"/>
        <v>23.291111002419989</v>
      </c>
      <c r="AG101">
        <f t="shared" si="35"/>
        <v>21.515027158072552</v>
      </c>
      <c r="AH101">
        <f t="shared" si="35"/>
        <v>20.047269141662568</v>
      </c>
      <c r="AI101">
        <f t="shared" si="35"/>
        <v>18.811298033669075</v>
      </c>
      <c r="AJ101">
        <f t="shared" si="35"/>
        <v>17.750920645731068</v>
      </c>
      <c r="AK101">
        <f t="shared" si="35"/>
        <v>24.674194825926875</v>
      </c>
      <c r="AL101">
        <f t="shared" si="35"/>
        <v>30.514372750213024</v>
      </c>
      <c r="AM101">
        <f t="shared" si="35"/>
        <v>27.684008904986353</v>
      </c>
      <c r="AN101">
        <f t="shared" si="35"/>
        <v>25.412010643557217</v>
      </c>
      <c r="AO101">
        <f t="shared" si="35"/>
        <v>23.555850373882745</v>
      </c>
      <c r="AP101">
        <f t="shared" si="35"/>
        <v>22.011047717000178</v>
      </c>
      <c r="AQ101">
        <f t="shared" si="35"/>
        <v>20.700946700346009</v>
      </c>
      <c r="AR101">
        <f t="shared" si="35"/>
        <v>19.569242209353323</v>
      </c>
      <c r="AS101">
        <f t="shared" si="35"/>
        <v>26.423884908438598</v>
      </c>
      <c r="AT101">
        <f t="shared" si="35"/>
        <v>32.198024213974321</v>
      </c>
      <c r="AU101">
        <f t="shared" si="35"/>
        <v>29.304116007922268</v>
      </c>
      <c r="AV101">
        <f t="shared" si="35"/>
        <v>26.970972962954125</v>
      </c>
      <c r="AW101">
        <f t="shared" si="35"/>
        <v>25.0559765276132</v>
      </c>
      <c r="AX101">
        <f t="shared" si="35"/>
        <v>23.454558904478048</v>
      </c>
      <c r="AY101">
        <f t="shared" si="35"/>
        <v>22.089980080729866</v>
      </c>
      <c r="AZ101">
        <f>SUM(AZ99:AZ100)</f>
        <v>20.905854130972727</v>
      </c>
      <c r="BA101">
        <f t="shared" ref="BA101:BR101" si="36">SUM(BA99:BA100)</f>
        <v>27.710054000783998</v>
      </c>
      <c r="BB101">
        <f t="shared" si="36"/>
        <v>33.435654351622972</v>
      </c>
      <c r="BC101">
        <f t="shared" si="36"/>
        <v>30.495039154293103</v>
      </c>
      <c r="BD101">
        <f t="shared" si="36"/>
        <v>28.116951900663533</v>
      </c>
      <c r="BE101">
        <f t="shared" si="36"/>
        <v>26.158707481346507</v>
      </c>
      <c r="BF101">
        <f t="shared" si="36"/>
        <v>24.515674061628417</v>
      </c>
      <c r="BG101">
        <f t="shared" si="36"/>
        <v>23.111050014536534</v>
      </c>
      <c r="BH101">
        <f t="shared" si="36"/>
        <v>21.888390130477028</v>
      </c>
      <c r="BI101">
        <f t="shared" si="36"/>
        <v>28.655510311586671</v>
      </c>
      <c r="BJ101">
        <f t="shared" si="36"/>
        <v>34.345430331150453</v>
      </c>
      <c r="BK101">
        <f t="shared" si="36"/>
        <v>31.370481345048582</v>
      </c>
      <c r="BL101">
        <f t="shared" si="36"/>
        <v>28.959356024740416</v>
      </c>
      <c r="BM101">
        <f t="shared" si="36"/>
        <v>26.96932035930914</v>
      </c>
      <c r="BN101">
        <f t="shared" si="36"/>
        <v>25.295695458711755</v>
      </c>
      <c r="BO101">
        <f t="shared" si="36"/>
        <v>23.861634416979001</v>
      </c>
      <c r="BP101">
        <f t="shared" si="36"/>
        <v>22.610648454675221</v>
      </c>
      <c r="BQ101">
        <f t="shared" si="36"/>
        <v>29.350511548645418</v>
      </c>
      <c r="BR101">
        <f t="shared" si="36"/>
        <v>35.014203129293925</v>
      </c>
      <c r="BS101">
        <f t="shared" ref="BS101" si="37">SUM(BS99:BS100)</f>
        <v>32.014015532258036</v>
      </c>
      <c r="BT101">
        <f t="shared" ref="BT101" si="38">SUM(BT99:BT100)</f>
        <v>29.578604073889153</v>
      </c>
      <c r="BU101">
        <f t="shared" ref="BU101" si="39">SUM(BU99:BU100)</f>
        <v>27.565198797975576</v>
      </c>
      <c r="BV101">
        <f t="shared" ref="BV101" si="40">SUM(BV99:BV100)</f>
        <v>25.869086225766438</v>
      </c>
      <c r="BW101">
        <f t="shared" ref="BW101" si="41">SUM(BW99:BW100)</f>
        <v>24.413386167959974</v>
      </c>
      <c r="BX101">
        <f t="shared" ref="BX101" si="42">SUM(BX99:BX100)</f>
        <v>23.141577817888749</v>
      </c>
      <c r="BY101">
        <f t="shared" ref="BY101:BZ101" si="43">SUM(BY99:BY100)</f>
        <v>29.861404333854601</v>
      </c>
      <c r="BZ101">
        <f t="shared" si="43"/>
        <v>35.505815490786865</v>
      </c>
      <c r="CA101">
        <f t="shared" ref="CA101:CP101" si="44">SUM(CA99:CA100)</f>
        <v>32.48707508801882</v>
      </c>
      <c r="CB101">
        <f t="shared" si="44"/>
        <v>30.033810982529481</v>
      </c>
      <c r="CC101">
        <f t="shared" si="44"/>
        <v>28.003226795022002</v>
      </c>
      <c r="CD101">
        <f t="shared" si="44"/>
        <v>26.290583620837726</v>
      </c>
      <c r="CE101">
        <f t="shared" si="44"/>
        <v>24.818976804310982</v>
      </c>
      <c r="CF101">
        <f t="shared" si="44"/>
        <v>23.531861995741494</v>
      </c>
      <c r="CG101">
        <f t="shared" si="44"/>
        <v>30.236959698883265</v>
      </c>
      <c r="CH101">
        <f t="shared" si="44"/>
        <v>35.867197889072095</v>
      </c>
      <c r="CI101">
        <f t="shared" si="44"/>
        <v>33.799794477258516</v>
      </c>
      <c r="CJ101">
        <f t="shared" si="44"/>
        <v>31.296990064401477</v>
      </c>
      <c r="CK101">
        <f t="shared" si="44"/>
        <v>29.218735155729611</v>
      </c>
      <c r="CL101">
        <f t="shared" si="44"/>
        <v>27.460220290852838</v>
      </c>
      <c r="CM101">
        <f t="shared" si="44"/>
        <v>25.944472921055116</v>
      </c>
      <c r="CN101">
        <f t="shared" si="44"/>
        <v>24.614883365780656</v>
      </c>
      <c r="CO101">
        <f t="shared" si="44"/>
        <v>31.279109263428889</v>
      </c>
      <c r="CP101">
        <f t="shared" si="44"/>
        <v>36.870018096437164</v>
      </c>
    </row>
    <row r="102" spans="3:94" x14ac:dyDescent="0.25">
      <c r="C102" t="s">
        <v>19</v>
      </c>
      <c r="L102">
        <f>SUM(E101:L101)</f>
        <v>78.940814016942554</v>
      </c>
      <c r="T102">
        <f>SUM(M101:T101)</f>
        <v>123.5418056766666</v>
      </c>
      <c r="AB102">
        <f>SUM(U101:AB101)</f>
        <v>154.66770927384525</v>
      </c>
      <c r="AJ102">
        <f>SUM(AC101:AJ101)</f>
        <v>177.41284946644646</v>
      </c>
      <c r="AR102">
        <f>SUM(AK101:AR101)</f>
        <v>194.12167412526571</v>
      </c>
      <c r="AZ102">
        <f>SUM(AS101:AZ101)</f>
        <v>206.40336773708313</v>
      </c>
      <c r="BH102">
        <f>SUM(BA101:BH101)</f>
        <v>215.43152109535214</v>
      </c>
      <c r="BP102">
        <f>SUM(BI101:BP101)</f>
        <v>222.06807670220124</v>
      </c>
      <c r="BX102">
        <f>SUM(BQ101:BX101)</f>
        <v>226.94658329367726</v>
      </c>
      <c r="CF102">
        <f>SUM(BY101:CF101)</f>
        <v>230.53275511110195</v>
      </c>
      <c r="CN102">
        <f>SUM(CI101:CP101)</f>
        <v>240.48422363494427</v>
      </c>
    </row>
    <row r="103" spans="3:94" x14ac:dyDescent="0.25">
      <c r="C103" t="s">
        <v>0</v>
      </c>
      <c r="CF103" s="2">
        <f>(BZ101+CF101)*(D75/2)+(BZ101-CF101)/((LN(BZ101/CF101))/(D74-D75))</f>
        <v>233.69493693187894</v>
      </c>
    </row>
    <row r="104" spans="3:94" x14ac:dyDescent="0.25">
      <c r="C104" s="1" t="s">
        <v>63</v>
      </c>
      <c r="D104" s="9">
        <f>CF102*(24/D74)</f>
        <v>691.59826533330579</v>
      </c>
    </row>
    <row r="105" spans="3:94" x14ac:dyDescent="0.25">
      <c r="C105" s="1" t="s">
        <v>67</v>
      </c>
      <c r="D105" s="9">
        <f>CN102*24/D74</f>
        <v>721.45267090483276</v>
      </c>
    </row>
    <row r="106" spans="3:94" x14ac:dyDescent="0.25">
      <c r="C106" t="s">
        <v>20</v>
      </c>
      <c r="D106" s="2">
        <f>($D$73/($D$75*$D$76*($D$85-$D$84)))*(((($D$83-$D$84)*$D$88/$D$84)/$D$87)+((($D$85-$D$83)*$D$91/$D$85)/$D$90))</f>
        <v>36.870018096437164</v>
      </c>
    </row>
    <row r="107" spans="3:94" x14ac:dyDescent="0.25">
      <c r="C107" t="s">
        <v>21</v>
      </c>
      <c r="D107" s="2">
        <f>($D$73/($D$75*$D$76*($D$85-$D$84)))*(((($D$83-$D$84)*$D$88/$D$84)*(EXP(-D84*(D74-D75)))/$D$87)+((($D$85-$D$83)*$D$91/$D$85)*(EXP(-D85*(D74-D75))/$D$90)))</f>
        <v>24.614883365780656</v>
      </c>
    </row>
    <row r="108" spans="3:94" ht="30" x14ac:dyDescent="0.25">
      <c r="C108" s="14" t="s">
        <v>76</v>
      </c>
      <c r="D108" s="9">
        <f>(D107+D106)*(D75/2)*(24/D74)+((D106-D107)/(LN(D106/D107)/(D74-D75)))*(24/D74)</f>
        <v>730.41146528619356</v>
      </c>
      <c r="E108" s="1"/>
    </row>
    <row r="109" spans="3:94" ht="45" x14ac:dyDescent="0.25">
      <c r="C109" s="14" t="s">
        <v>77</v>
      </c>
      <c r="D109" s="9">
        <f>(($D$73/($D$75*$D$76*($D$85-$D$84)))*(((($D$83-$D$84)*$D$88*(1-EXP(-$D$84*($D$74-$D$75)))/($D$84)^2)/$D$87)+((($D$85-$D$83)*$D$91*(1-EXP(-$D$85*($D$74-$D$75)))/($D$85)^2)/$D$90))*(24/$D$74))+($D$106+$D$107)*$D$75/2*(24/$D$74)</f>
        <v>719.3029140443989</v>
      </c>
    </row>
    <row r="110" spans="3:94" x14ac:dyDescent="0.25">
      <c r="C110" s="1" t="s">
        <v>26</v>
      </c>
      <c r="D110" s="9">
        <f>D73/D78*(24/D74)</f>
        <v>721.45267090483253</v>
      </c>
    </row>
    <row r="111" spans="3:94" x14ac:dyDescent="0.25">
      <c r="D111" s="2"/>
    </row>
    <row r="112" spans="3:94" x14ac:dyDescent="0.25">
      <c r="C112" t="s">
        <v>78</v>
      </c>
      <c r="D112" t="e">
        <f>IF(ISNUMBER(D102),(1-(D23/D102))*100,NA())</f>
        <v>#N/A</v>
      </c>
      <c r="E112" t="e">
        <f t="shared" ref="E112:BP112" si="45">IF(ISNUMBER(E102),(1-(E23/E102))*100,NA())</f>
        <v>#N/A</v>
      </c>
      <c r="F112" t="e">
        <f t="shared" si="45"/>
        <v>#N/A</v>
      </c>
      <c r="G112" t="e">
        <f t="shared" si="45"/>
        <v>#N/A</v>
      </c>
      <c r="H112" t="e">
        <f t="shared" si="45"/>
        <v>#N/A</v>
      </c>
      <c r="I112" t="e">
        <f t="shared" si="45"/>
        <v>#N/A</v>
      </c>
      <c r="J112" t="e">
        <f t="shared" si="45"/>
        <v>#N/A</v>
      </c>
      <c r="K112" t="e">
        <f t="shared" si="45"/>
        <v>#N/A</v>
      </c>
      <c r="L112">
        <f t="shared" si="45"/>
        <v>-50.979052150683437</v>
      </c>
      <c r="M112" t="e">
        <f t="shared" si="45"/>
        <v>#N/A</v>
      </c>
      <c r="N112" t="e">
        <f t="shared" si="45"/>
        <v>#N/A</v>
      </c>
      <c r="O112" t="e">
        <f t="shared" si="45"/>
        <v>#N/A</v>
      </c>
      <c r="P112" t="e">
        <f t="shared" si="45"/>
        <v>#N/A</v>
      </c>
      <c r="Q112" t="e">
        <f t="shared" si="45"/>
        <v>#N/A</v>
      </c>
      <c r="R112" t="e">
        <f t="shared" si="45"/>
        <v>#N/A</v>
      </c>
      <c r="S112" t="e">
        <f t="shared" si="45"/>
        <v>#N/A</v>
      </c>
      <c r="T112">
        <f t="shared" si="45"/>
        <v>-47.394932881843353</v>
      </c>
      <c r="U112" t="e">
        <f t="shared" si="45"/>
        <v>#N/A</v>
      </c>
      <c r="V112" t="e">
        <f t="shared" si="45"/>
        <v>#N/A</v>
      </c>
      <c r="W112" t="e">
        <f t="shared" si="45"/>
        <v>#N/A</v>
      </c>
      <c r="X112" t="e">
        <f t="shared" si="45"/>
        <v>#N/A</v>
      </c>
      <c r="Y112" t="e">
        <f t="shared" si="45"/>
        <v>#N/A</v>
      </c>
      <c r="Z112" t="e">
        <f t="shared" si="45"/>
        <v>#N/A</v>
      </c>
      <c r="AA112" t="e">
        <f t="shared" si="45"/>
        <v>#N/A</v>
      </c>
      <c r="AB112">
        <f t="shared" si="45"/>
        <v>-37.311970655215717</v>
      </c>
      <c r="AC112" t="e">
        <f t="shared" si="45"/>
        <v>#N/A</v>
      </c>
      <c r="AD112" t="e">
        <f t="shared" si="45"/>
        <v>#N/A</v>
      </c>
      <c r="AE112" t="e">
        <f t="shared" si="45"/>
        <v>#N/A</v>
      </c>
      <c r="AF112" t="e">
        <f t="shared" si="45"/>
        <v>#N/A</v>
      </c>
      <c r="AG112" t="e">
        <f t="shared" si="45"/>
        <v>#N/A</v>
      </c>
      <c r="AH112" t="e">
        <f t="shared" si="45"/>
        <v>#N/A</v>
      </c>
      <c r="AI112" t="e">
        <f t="shared" si="45"/>
        <v>#N/A</v>
      </c>
      <c r="AJ112">
        <f t="shared" si="45"/>
        <v>-27.924484134046669</v>
      </c>
      <c r="AK112" t="e">
        <f t="shared" si="45"/>
        <v>#N/A</v>
      </c>
      <c r="AL112" t="e">
        <f t="shared" si="45"/>
        <v>#N/A</v>
      </c>
      <c r="AM112" t="e">
        <f t="shared" si="45"/>
        <v>#N/A</v>
      </c>
      <c r="AN112" t="e">
        <f t="shared" si="45"/>
        <v>#N/A</v>
      </c>
      <c r="AO112" t="e">
        <f t="shared" si="45"/>
        <v>#N/A</v>
      </c>
      <c r="AP112" t="e">
        <f t="shared" si="45"/>
        <v>#N/A</v>
      </c>
      <c r="AQ112" t="e">
        <f t="shared" si="45"/>
        <v>#N/A</v>
      </c>
      <c r="AR112">
        <f t="shared" si="45"/>
        <v>-20.52824650777989</v>
      </c>
      <c r="AS112" t="e">
        <f t="shared" si="45"/>
        <v>#N/A</v>
      </c>
      <c r="AT112" t="e">
        <f t="shared" si="45"/>
        <v>#N/A</v>
      </c>
      <c r="AU112" t="e">
        <f t="shared" si="45"/>
        <v>#N/A</v>
      </c>
      <c r="AV112" t="e">
        <f t="shared" si="45"/>
        <v>#N/A</v>
      </c>
      <c r="AW112" t="e">
        <f t="shared" si="45"/>
        <v>#N/A</v>
      </c>
      <c r="AX112" t="e">
        <f t="shared" si="45"/>
        <v>#N/A</v>
      </c>
      <c r="AY112" t="e">
        <f t="shared" si="45"/>
        <v>#N/A</v>
      </c>
      <c r="AZ112">
        <f t="shared" si="45"/>
        <v>-14.992886432676311</v>
      </c>
      <c r="BA112" t="e">
        <f t="shared" si="45"/>
        <v>#N/A</v>
      </c>
      <c r="BB112" t="e">
        <f t="shared" si="45"/>
        <v>#N/A</v>
      </c>
      <c r="BC112" t="e">
        <f t="shared" si="45"/>
        <v>#N/A</v>
      </c>
      <c r="BD112" t="e">
        <f t="shared" si="45"/>
        <v>#N/A</v>
      </c>
      <c r="BE112" t="e">
        <f t="shared" si="45"/>
        <v>#N/A</v>
      </c>
      <c r="BF112" t="e">
        <f t="shared" si="45"/>
        <v>#N/A</v>
      </c>
      <c r="BG112" t="e">
        <f t="shared" si="45"/>
        <v>#N/A</v>
      </c>
      <c r="BH112">
        <f t="shared" si="45"/>
        <v>-10.928577801749517</v>
      </c>
      <c r="BI112" t="e">
        <f t="shared" si="45"/>
        <v>#N/A</v>
      </c>
      <c r="BJ112" t="e">
        <f t="shared" si="45"/>
        <v>#N/A</v>
      </c>
      <c r="BK112" t="e">
        <f t="shared" si="45"/>
        <v>#N/A</v>
      </c>
      <c r="BL112" t="e">
        <f t="shared" si="45"/>
        <v>#N/A</v>
      </c>
      <c r="BM112" t="e">
        <f t="shared" si="45"/>
        <v>#N/A</v>
      </c>
      <c r="BN112" t="e">
        <f t="shared" si="45"/>
        <v>#N/A</v>
      </c>
      <c r="BO112" t="e">
        <f t="shared" si="45"/>
        <v>#N/A</v>
      </c>
      <c r="BP112">
        <f t="shared" si="45"/>
        <v>-7.9658976327068753</v>
      </c>
      <c r="BQ112" t="e">
        <f t="shared" ref="BQ112:CF112" si="46">IF(ISNUMBER(BQ102),(1-(BQ23/BQ102))*100,NA())</f>
        <v>#N/A</v>
      </c>
      <c r="BR112" t="e">
        <f t="shared" si="46"/>
        <v>#N/A</v>
      </c>
      <c r="BS112" t="e">
        <f t="shared" si="46"/>
        <v>#N/A</v>
      </c>
      <c r="BT112" t="e">
        <f t="shared" si="46"/>
        <v>#N/A</v>
      </c>
      <c r="BU112" t="e">
        <f t="shared" si="46"/>
        <v>#N/A</v>
      </c>
      <c r="BV112" t="e">
        <f t="shared" si="46"/>
        <v>#N/A</v>
      </c>
      <c r="BW112" t="e">
        <f t="shared" si="46"/>
        <v>#N/A</v>
      </c>
      <c r="BX112">
        <f t="shared" si="46"/>
        <v>-5.811041619459556</v>
      </c>
      <c r="BY112" t="e">
        <f t="shared" si="46"/>
        <v>#N/A</v>
      </c>
      <c r="BZ112" t="e">
        <f t="shared" si="46"/>
        <v>#N/A</v>
      </c>
      <c r="CA112" t="e">
        <f t="shared" si="46"/>
        <v>#N/A</v>
      </c>
      <c r="CB112" t="e">
        <f t="shared" si="46"/>
        <v>#N/A</v>
      </c>
      <c r="CC112" t="e">
        <f t="shared" si="46"/>
        <v>#N/A</v>
      </c>
      <c r="CD112" t="e">
        <f t="shared" si="46"/>
        <v>#N/A</v>
      </c>
      <c r="CE112" t="e">
        <f t="shared" si="46"/>
        <v>#N/A</v>
      </c>
      <c r="CF112">
        <f t="shared" si="46"/>
        <v>-4.2437111338852418</v>
      </c>
      <c r="CG112" t="str">
        <f t="shared" ref="BQ112:CP112" si="47">IF(ISNUMBER(CG102),(1-(CG23/CG102))*100,"")</f>
        <v/>
      </c>
      <c r="CH112" t="str">
        <f t="shared" si="47"/>
        <v/>
      </c>
      <c r="CI112" t="str">
        <f t="shared" si="47"/>
        <v/>
      </c>
      <c r="CJ112" t="str">
        <f t="shared" si="47"/>
        <v/>
      </c>
      <c r="CK112" t="str">
        <f t="shared" si="47"/>
        <v/>
      </c>
      <c r="CL112" t="str">
        <f t="shared" si="47"/>
        <v/>
      </c>
      <c r="CM112" t="str">
        <f t="shared" si="47"/>
        <v/>
      </c>
      <c r="CO112" t="str">
        <f t="shared" si="47"/>
        <v/>
      </c>
      <c r="CP112" t="str">
        <f t="shared" si="47"/>
        <v/>
      </c>
    </row>
    <row r="113" spans="8:9" x14ac:dyDescent="0.25">
      <c r="H113" s="1" t="str">
        <f>D70</f>
        <v>Goti</v>
      </c>
      <c r="I113" s="1" t="s">
        <v>44</v>
      </c>
    </row>
  </sheetData>
  <sheetProtection algorithmName="SHA-512" hashValue="LCr+AkguE3aLOcj04TsHzl9rRLvhMmI90Hf7DwEzGabMXeCGieJCgeUuTSco22qau3oyHtaBsQIKu7nEjwFMmQ==" saltValue="TbtqushcYo6XK0zfTvJd8w==" spinCount="100000" sheet="1" objects="1" scenarios="1"/>
  <hyperlinks>
    <hyperlink ref="C2" r:id="rId1" xr:uid="{F40CF8EF-1A6F-438A-832F-B45EA42D823C}"/>
  </hyperlinks>
  <printOptions horizontalCentered="1"/>
  <pageMargins left="0.7" right="0.7" top="0.75" bottom="0.75" header="0" footer="0"/>
  <pageSetup scale="2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68FE00-B35D-4A50-A9D8-B8E035EDBA02}">
          <x14:formula1>
            <xm:f>Sheet2!$J$2:$J$3</xm:f>
          </x14:formula1>
          <xm:sqref>D70</xm:sqref>
        </x14:dataValidation>
        <x14:dataValidation type="list" allowBlank="1" showInputMessage="1" showErrorMessage="1" xr:uid="{C23E1B31-9D81-473B-8687-6C55CD1B7B4C}">
          <x14:formula1>
            <xm:f>Sheet2!$L$2:$L$4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573C-F3A8-4F05-8B17-9540E26F47B0}">
  <sheetPr codeName="Sheet2"/>
  <dimension ref="A1:L4"/>
  <sheetViews>
    <sheetView workbookViewId="0">
      <selection activeCell="E2" sqref="E2"/>
    </sheetView>
  </sheetViews>
  <sheetFormatPr defaultRowHeight="15" x14ac:dyDescent="0.25"/>
  <cols>
    <col min="12" max="12" width="26.42578125" bestFit="1" customWidth="1"/>
  </cols>
  <sheetData>
    <row r="1" spans="1:12" x14ac:dyDescent="0.25">
      <c r="B1" t="s">
        <v>31</v>
      </c>
      <c r="C1" t="s">
        <v>41</v>
      </c>
      <c r="D1" t="s">
        <v>42</v>
      </c>
      <c r="E1" t="s">
        <v>43</v>
      </c>
      <c r="F1" t="s">
        <v>36</v>
      </c>
      <c r="G1" t="s">
        <v>37</v>
      </c>
      <c r="J1" t="s">
        <v>44</v>
      </c>
      <c r="L1" t="s">
        <v>70</v>
      </c>
    </row>
    <row r="2" spans="1:12" x14ac:dyDescent="0.25">
      <c r="A2" t="s">
        <v>39</v>
      </c>
      <c r="B2">
        <f>58.4*Sheet1!D71/70</f>
        <v>58.4</v>
      </c>
      <c r="C2">
        <f>38.4*Sheet1!D71/70</f>
        <v>38.4</v>
      </c>
      <c r="D2">
        <v>6.5</v>
      </c>
      <c r="E2">
        <f>6.4*(Sheet1!D72/120)^0.8</f>
        <v>4.1582769334507494</v>
      </c>
      <c r="J2" s="1" t="s">
        <v>39</v>
      </c>
      <c r="L2">
        <v>0.5</v>
      </c>
    </row>
    <row r="3" spans="1:12" x14ac:dyDescent="0.25">
      <c r="A3" t="s">
        <v>40</v>
      </c>
      <c r="B3">
        <v>25.76</v>
      </c>
      <c r="C3">
        <f>D3/G3</f>
        <v>40.965555555555561</v>
      </c>
      <c r="D3">
        <f>F3*B3</f>
        <v>58.990400000000001</v>
      </c>
      <c r="E3">
        <f>0.043292*Sheet1!D72+0.331123</f>
        <v>3.3615629999999994</v>
      </c>
      <c r="F3">
        <v>2.29</v>
      </c>
      <c r="G3">
        <v>1.44</v>
      </c>
      <c r="J3" s="1" t="s">
        <v>40</v>
      </c>
      <c r="L3">
        <v>0.65</v>
      </c>
    </row>
    <row r="4" spans="1:12" x14ac:dyDescent="0.25">
      <c r="L4">
        <v>1</v>
      </c>
    </row>
  </sheetData>
  <sheetProtection algorithmName="SHA-512" hashValue="gHlc3khyB38hkq4UpIQejJGx7j+oHvKqxpo9a6Gs21QLG2ek+pnGYJlOk4ziZZdqvPJAaZHskA4IAfyl2L8dvA==" saltValue="T6VqenJQO3bjjpOThJck0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2020-02-14T15:03:43Z</cp:lastPrinted>
  <dcterms:created xsi:type="dcterms:W3CDTF">2020-02-12T13:56:28Z</dcterms:created>
  <dcterms:modified xsi:type="dcterms:W3CDTF">2022-08-17T12:58:29Z</dcterms:modified>
</cp:coreProperties>
</file>